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EBE" lockStructure="1"/>
  <bookViews>
    <workbookView xWindow="0" yWindow="60" windowWidth="16380" windowHeight="8130" tabRatio="603" firstSheet="1" activeTab="1"/>
  </bookViews>
  <sheets>
    <sheet name="Pl 2014-17 PFC" sheetId="1" state="hidden" r:id="rId1"/>
    <sheet name="Pl 2014-17 PFC MF" sheetId="2" r:id="rId2"/>
    <sheet name="Plan 2014-17 Wydatki" sheetId="3" state="hidden" r:id="rId3"/>
    <sheet name="Rozl. poż. og.-plan 2008-10" sheetId="4" state="hidden" r:id="rId4"/>
    <sheet name="Rozl.poż.pr.cel.-plan 2008-10" sheetId="5" state="hidden" r:id="rId5"/>
  </sheets>
  <definedNames>
    <definedName name="_xlnm.Print_Area" localSheetId="0">'Pl 2014-17 PFC'!$A$1:$K$561</definedName>
    <definedName name="_xlnm.Print_Area" localSheetId="1">'Pl 2014-17 PFC MF'!$A$1:$J$591</definedName>
    <definedName name="_xlnm.Print_Area" localSheetId="2">'Plan 2014-17 Wydatki'!$A$1:$AH$69</definedName>
    <definedName name="_xlnm.Print_Area" localSheetId="3">'Rozl. poż. og.-plan 2008-10'!$A$1:$I$49</definedName>
    <definedName name="_xlnm.Print_Area" localSheetId="4">'Rozl.poż.pr.cel.-plan 2008-10'!$A$1:$I$65</definedName>
    <definedName name="_xlnm.Print_Titles" localSheetId="0">'Pl 2014-17 PFC'!$64:$66</definedName>
    <definedName name="_xlnm.Print_Titles" localSheetId="1">'Pl 2014-17 PFC MF'!$66:$68</definedName>
    <definedName name="_xlnm.Print_Titles" localSheetId="2">'Plan 2014-17 Wydatki'!$A:$B,'Plan 2014-17 Wydatki'!$7:$10</definedName>
  </definedNames>
  <calcPr calcId="145621"/>
</workbook>
</file>

<file path=xl/calcChain.xml><?xml version="1.0" encoding="utf-8"?>
<calcChain xmlns="http://schemas.openxmlformats.org/spreadsheetml/2006/main">
  <c r="E66" i="2" l="1"/>
  <c r="K231" i="1" l="1"/>
  <c r="J53" i="1"/>
  <c r="I53" i="1"/>
  <c r="H53" i="1"/>
  <c r="G53" i="1"/>
  <c r="F53" i="1"/>
  <c r="E53" i="1"/>
  <c r="I240" i="2"/>
  <c r="I54" i="2" s="1"/>
  <c r="F240" i="2"/>
  <c r="G240" i="2"/>
  <c r="H240" i="2"/>
  <c r="E240" i="2"/>
  <c r="K221" i="1"/>
  <c r="J240" i="2" s="1"/>
  <c r="J54" i="2" s="1"/>
  <c r="E222" i="1"/>
  <c r="E220" i="1" s="1"/>
  <c r="F234" i="2"/>
  <c r="G234" i="2"/>
  <c r="H234" i="2"/>
  <c r="I234" i="2"/>
  <c r="J234" i="2"/>
  <c r="E234" i="2"/>
  <c r="E317" i="2"/>
  <c r="F317" i="2"/>
  <c r="G317" i="2"/>
  <c r="I317" i="2"/>
  <c r="I79" i="2"/>
  <c r="I207" i="2"/>
  <c r="I206" i="2" s="1"/>
  <c r="I48" i="2" s="1"/>
  <c r="I201" i="2"/>
  <c r="I200" i="2"/>
  <c r="I47" i="2" s="1"/>
  <c r="I262" i="2"/>
  <c r="E262" i="2"/>
  <c r="I261" i="2"/>
  <c r="E261" i="2"/>
  <c r="I156" i="2"/>
  <c r="I32" i="2" s="1"/>
  <c r="I155" i="2"/>
  <c r="I154" i="2"/>
  <c r="I244" i="2"/>
  <c r="J244" i="2"/>
  <c r="I241" i="2"/>
  <c r="J241" i="2"/>
  <c r="J230" i="2"/>
  <c r="I239" i="2"/>
  <c r="I238" i="2"/>
  <c r="I236" i="2"/>
  <c r="I235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0" i="2" s="1"/>
  <c r="I216" i="2"/>
  <c r="I215" i="2"/>
  <c r="F215" i="2"/>
  <c r="G215" i="2"/>
  <c r="H215" i="2"/>
  <c r="F216" i="2"/>
  <c r="G216" i="2"/>
  <c r="H216" i="2"/>
  <c r="F217" i="2"/>
  <c r="F52" i="2" s="1"/>
  <c r="G217" i="2"/>
  <c r="G210" i="2" s="1"/>
  <c r="H217" i="2"/>
  <c r="H210" i="2" s="1"/>
  <c r="F218" i="2"/>
  <c r="G218" i="2"/>
  <c r="H218" i="2"/>
  <c r="F219" i="2"/>
  <c r="G219" i="2"/>
  <c r="H219" i="2"/>
  <c r="F220" i="2"/>
  <c r="G220" i="2"/>
  <c r="H220" i="2"/>
  <c r="F221" i="2"/>
  <c r="G221" i="2"/>
  <c r="H221" i="2"/>
  <c r="F222" i="2"/>
  <c r="G222" i="2"/>
  <c r="H222" i="2"/>
  <c r="F223" i="2"/>
  <c r="G223" i="2"/>
  <c r="H223" i="2"/>
  <c r="F224" i="2"/>
  <c r="G224" i="2"/>
  <c r="H224" i="2"/>
  <c r="F225" i="2"/>
  <c r="G225" i="2"/>
  <c r="H225" i="2"/>
  <c r="F226" i="2"/>
  <c r="G226" i="2"/>
  <c r="H226" i="2"/>
  <c r="F227" i="2"/>
  <c r="G227" i="2"/>
  <c r="H227" i="2"/>
  <c r="F228" i="2"/>
  <c r="G228" i="2"/>
  <c r="H228" i="2"/>
  <c r="F229" i="2"/>
  <c r="G229" i="2"/>
  <c r="H229" i="2"/>
  <c r="F231" i="2"/>
  <c r="G231" i="2"/>
  <c r="H231" i="2"/>
  <c r="F232" i="2"/>
  <c r="G232" i="2"/>
  <c r="H232" i="2"/>
  <c r="F233" i="2"/>
  <c r="G233" i="2"/>
  <c r="H233" i="2"/>
  <c r="F235" i="2"/>
  <c r="G235" i="2"/>
  <c r="H235" i="2"/>
  <c r="F236" i="2"/>
  <c r="G236" i="2"/>
  <c r="H236" i="2"/>
  <c r="F238" i="2"/>
  <c r="G238" i="2"/>
  <c r="H238" i="2"/>
  <c r="F239" i="2"/>
  <c r="G239" i="2"/>
  <c r="H239" i="2"/>
  <c r="F54" i="2"/>
  <c r="G54" i="2"/>
  <c r="H54" i="2"/>
  <c r="I586" i="2"/>
  <c r="I585" i="2"/>
  <c r="I312" i="2"/>
  <c r="I313" i="2"/>
  <c r="I314" i="2"/>
  <c r="I315" i="2"/>
  <c r="I316" i="2"/>
  <c r="I318" i="2"/>
  <c r="I319" i="2"/>
  <c r="I320" i="2"/>
  <c r="I321" i="2"/>
  <c r="I322" i="2"/>
  <c r="I323" i="2"/>
  <c r="I311" i="2"/>
  <c r="I310" i="2"/>
  <c r="I282" i="2"/>
  <c r="I283" i="2"/>
  <c r="I284" i="2"/>
  <c r="I285" i="2"/>
  <c r="I286" i="2"/>
  <c r="I287" i="2"/>
  <c r="I288" i="2"/>
  <c r="I289" i="2"/>
  <c r="I290" i="2"/>
  <c r="I291" i="2"/>
  <c r="I292" i="2"/>
  <c r="I295" i="2"/>
  <c r="I296" i="2"/>
  <c r="I297" i="2"/>
  <c r="I298" i="2"/>
  <c r="I299" i="2"/>
  <c r="I300" i="2"/>
  <c r="I301" i="2"/>
  <c r="I302" i="2"/>
  <c r="I304" i="2"/>
  <c r="I305" i="2"/>
  <c r="I306" i="2"/>
  <c r="I250" i="2"/>
  <c r="I254" i="2"/>
  <c r="I256" i="2"/>
  <c r="I260" i="2"/>
  <c r="I264" i="2"/>
  <c r="I265" i="2"/>
  <c r="I266" i="2"/>
  <c r="I267" i="2"/>
  <c r="I268" i="2"/>
  <c r="I269" i="2"/>
  <c r="I270" i="2"/>
  <c r="I271" i="2"/>
  <c r="I272" i="2"/>
  <c r="I273" i="2"/>
  <c r="I274" i="2"/>
  <c r="I277" i="2"/>
  <c r="I278" i="2"/>
  <c r="I279" i="2"/>
  <c r="I40" i="2" s="1"/>
  <c r="I280" i="2"/>
  <c r="I44" i="2"/>
  <c r="I249" i="2"/>
  <c r="I56" i="2" s="1"/>
  <c r="I190" i="2"/>
  <c r="I193" i="2"/>
  <c r="I194" i="2"/>
  <c r="I195" i="2"/>
  <c r="I203" i="2"/>
  <c r="I202" i="2"/>
  <c r="I49" i="2"/>
  <c r="I205" i="2"/>
  <c r="I208" i="2"/>
  <c r="I174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9" i="2"/>
  <c r="I139" i="2"/>
  <c r="I140" i="2"/>
  <c r="I141" i="2"/>
  <c r="I146" i="2"/>
  <c r="I147" i="2"/>
  <c r="I148" i="2"/>
  <c r="I149" i="2"/>
  <c r="I150" i="2"/>
  <c r="I151" i="2"/>
  <c r="I37" i="2" s="1"/>
  <c r="I36" i="2" s="1"/>
  <c r="I152" i="2"/>
  <c r="I39" i="2" s="1"/>
  <c r="I153" i="2"/>
  <c r="I2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16" i="2"/>
  <c r="I117" i="2"/>
  <c r="I23" i="2"/>
  <c r="I118" i="2"/>
  <c r="I28" i="2" s="1"/>
  <c r="I119" i="2"/>
  <c r="I30" i="2"/>
  <c r="I120" i="2"/>
  <c r="I43" i="2" s="1"/>
  <c r="I42" i="2" s="1"/>
  <c r="I122" i="2"/>
  <c r="I123" i="2"/>
  <c r="F90" i="2"/>
  <c r="F89" i="2" s="1"/>
  <c r="G90" i="2"/>
  <c r="H90" i="2"/>
  <c r="I74" i="2"/>
  <c r="I75" i="2"/>
  <c r="I76" i="2"/>
  <c r="I77" i="2"/>
  <c r="I78" i="2"/>
  <c r="I80" i="2"/>
  <c r="I81" i="2"/>
  <c r="I82" i="2"/>
  <c r="I83" i="2"/>
  <c r="I70" i="2" s="1"/>
  <c r="I84" i="2"/>
  <c r="I85" i="2"/>
  <c r="I73" i="2"/>
  <c r="I98" i="2"/>
  <c r="I101" i="2"/>
  <c r="I102" i="2"/>
  <c r="I103" i="2"/>
  <c r="I104" i="2"/>
  <c r="I105" i="2"/>
  <c r="I106" i="2"/>
  <c r="I107" i="2"/>
  <c r="I108" i="2"/>
  <c r="I96" i="2"/>
  <c r="I94" i="2"/>
  <c r="I91" i="2"/>
  <c r="I92" i="2"/>
  <c r="I72" i="2"/>
  <c r="I584" i="2"/>
  <c r="F66" i="2"/>
  <c r="G66" i="2"/>
  <c r="H66" i="2"/>
  <c r="J14" i="2"/>
  <c r="J66" i="2"/>
  <c r="J580" i="2" s="1"/>
  <c r="I14" i="2"/>
  <c r="I66" i="2" s="1"/>
  <c r="I580" i="2" s="1"/>
  <c r="K545" i="1"/>
  <c r="J586" i="2"/>
  <c r="K544" i="1"/>
  <c r="J585" i="2" s="1"/>
  <c r="J584" i="2" s="1"/>
  <c r="F543" i="1"/>
  <c r="G543" i="1"/>
  <c r="H543" i="1"/>
  <c r="I543" i="1"/>
  <c r="J543" i="1"/>
  <c r="F23" i="1"/>
  <c r="G23" i="1"/>
  <c r="H23" i="1"/>
  <c r="I23" i="1"/>
  <c r="J23" i="1"/>
  <c r="F24" i="1"/>
  <c r="G24" i="1"/>
  <c r="H24" i="1"/>
  <c r="I24" i="1"/>
  <c r="I22" i="1"/>
  <c r="J24" i="1"/>
  <c r="F26" i="1"/>
  <c r="F25" i="1" s="1"/>
  <c r="G26" i="1"/>
  <c r="G25" i="1" s="1"/>
  <c r="H26" i="1"/>
  <c r="H25" i="1" s="1"/>
  <c r="I26" i="1"/>
  <c r="J26" i="1"/>
  <c r="J25" i="1"/>
  <c r="F27" i="1"/>
  <c r="G27" i="1"/>
  <c r="H27" i="1"/>
  <c r="I27" i="1"/>
  <c r="J27" i="1"/>
  <c r="F28" i="1"/>
  <c r="G28" i="1"/>
  <c r="H28" i="1"/>
  <c r="I28" i="1"/>
  <c r="J28" i="1"/>
  <c r="F30" i="1"/>
  <c r="G30" i="1"/>
  <c r="H30" i="1"/>
  <c r="H29" i="1" s="1"/>
  <c r="I30" i="1"/>
  <c r="J30" i="1"/>
  <c r="F31" i="1"/>
  <c r="G31" i="1"/>
  <c r="H31" i="1"/>
  <c r="I31" i="1"/>
  <c r="I29" i="1" s="1"/>
  <c r="J31" i="1"/>
  <c r="F32" i="1"/>
  <c r="G32" i="1"/>
  <c r="H32" i="1"/>
  <c r="I32" i="1"/>
  <c r="J32" i="1"/>
  <c r="F37" i="1"/>
  <c r="F36" i="1"/>
  <c r="G37" i="1"/>
  <c r="G36" i="1"/>
  <c r="H37" i="1"/>
  <c r="H36" i="1"/>
  <c r="I37" i="1"/>
  <c r="I36" i="1"/>
  <c r="J37" i="1"/>
  <c r="J36" i="1"/>
  <c r="F39" i="1"/>
  <c r="G39" i="1"/>
  <c r="G38" i="1" s="1"/>
  <c r="H39" i="1"/>
  <c r="H38" i="1" s="1"/>
  <c r="I39" i="1"/>
  <c r="I38" i="1" s="1"/>
  <c r="J39" i="1"/>
  <c r="J38" i="1" s="1"/>
  <c r="F40" i="1"/>
  <c r="F38" i="1"/>
  <c r="G40" i="1"/>
  <c r="H40" i="1"/>
  <c r="I40" i="1"/>
  <c r="J40" i="1"/>
  <c r="F43" i="1"/>
  <c r="F42" i="1" s="1"/>
  <c r="G43" i="1"/>
  <c r="H43" i="1"/>
  <c r="H42" i="1"/>
  <c r="I43" i="1"/>
  <c r="J43" i="1"/>
  <c r="J42" i="1" s="1"/>
  <c r="F44" i="1"/>
  <c r="G44" i="1"/>
  <c r="G42" i="1" s="1"/>
  <c r="H44" i="1"/>
  <c r="I44" i="1"/>
  <c r="I42" i="1" s="1"/>
  <c r="J44" i="1"/>
  <c r="F52" i="1"/>
  <c r="G52" i="1"/>
  <c r="H52" i="1"/>
  <c r="I52" i="1"/>
  <c r="J52" i="1"/>
  <c r="F54" i="1"/>
  <c r="G54" i="1"/>
  <c r="H54" i="1"/>
  <c r="I54" i="1"/>
  <c r="J54" i="1"/>
  <c r="F59" i="1"/>
  <c r="F58" i="1" s="1"/>
  <c r="G59" i="1"/>
  <c r="G61" i="2" s="1"/>
  <c r="G60" i="2" s="1"/>
  <c r="H59" i="1"/>
  <c r="H61" i="2"/>
  <c r="H60" i="2" s="1"/>
  <c r="H58" i="1"/>
  <c r="I59" i="1"/>
  <c r="I58" i="1"/>
  <c r="J59" i="1"/>
  <c r="I61" i="2"/>
  <c r="I60" i="2" s="1"/>
  <c r="K64" i="1"/>
  <c r="J64" i="1"/>
  <c r="K539" i="1"/>
  <c r="J539" i="1"/>
  <c r="F291" i="1"/>
  <c r="F57" i="1" s="1"/>
  <c r="G291" i="1"/>
  <c r="G57" i="1" s="1"/>
  <c r="H291" i="1"/>
  <c r="H57" i="1" s="1"/>
  <c r="I291" i="1"/>
  <c r="I57" i="1" s="1"/>
  <c r="J291" i="1"/>
  <c r="I303" i="2" s="1"/>
  <c r="I59" i="2" s="1"/>
  <c r="F281" i="1"/>
  <c r="F45" i="1"/>
  <c r="G281" i="1"/>
  <c r="G45" i="1"/>
  <c r="H281" i="1"/>
  <c r="H45" i="1"/>
  <c r="J281" i="1"/>
  <c r="J45" i="1" s="1"/>
  <c r="I293" i="2"/>
  <c r="I45" i="2" s="1"/>
  <c r="F269" i="1"/>
  <c r="F264" i="1" s="1"/>
  <c r="F263" i="1" s="1"/>
  <c r="G269" i="1"/>
  <c r="H269" i="1"/>
  <c r="H264" i="1" s="1"/>
  <c r="H263" i="1" s="1"/>
  <c r="I269" i="1"/>
  <c r="I264" i="1"/>
  <c r="I263" i="1" s="1"/>
  <c r="J269" i="1"/>
  <c r="I281" i="2" s="1"/>
  <c r="G264" i="1"/>
  <c r="G263" i="1" s="1"/>
  <c r="J264" i="1"/>
  <c r="I276" i="2" s="1"/>
  <c r="F251" i="1"/>
  <c r="F35" i="1" s="1"/>
  <c r="G251" i="1"/>
  <c r="G35" i="1" s="1"/>
  <c r="H251" i="1"/>
  <c r="H35" i="1" s="1"/>
  <c r="I251" i="1"/>
  <c r="I35" i="1" s="1"/>
  <c r="J251" i="1"/>
  <c r="J35" i="1" s="1"/>
  <c r="F243" i="1"/>
  <c r="F56" i="1" s="1"/>
  <c r="G243" i="1"/>
  <c r="G56" i="1" s="1"/>
  <c r="H243" i="1"/>
  <c r="H56" i="1" s="1"/>
  <c r="I243" i="1"/>
  <c r="I56" i="1" s="1"/>
  <c r="J243" i="1"/>
  <c r="I255" i="2" s="1"/>
  <c r="I240" i="1"/>
  <c r="F241" i="1"/>
  <c r="F240" i="1"/>
  <c r="G241" i="1"/>
  <c r="G240" i="1"/>
  <c r="H241" i="1"/>
  <c r="H240" i="1"/>
  <c r="I241" i="1"/>
  <c r="J241" i="1"/>
  <c r="I253" i="2" s="1"/>
  <c r="J240" i="1"/>
  <c r="I252" i="2" s="1"/>
  <c r="F222" i="1"/>
  <c r="F248" i="2" s="1"/>
  <c r="F55" i="2" s="1"/>
  <c r="G222" i="1"/>
  <c r="G220" i="1" s="1"/>
  <c r="G248" i="2"/>
  <c r="G55" i="2" s="1"/>
  <c r="H222" i="1"/>
  <c r="H248" i="2" s="1"/>
  <c r="H55" i="2" s="1"/>
  <c r="J222" i="1"/>
  <c r="J220" i="1" s="1"/>
  <c r="F209" i="1"/>
  <c r="G209" i="1"/>
  <c r="H209" i="1"/>
  <c r="I209" i="1"/>
  <c r="J209" i="1"/>
  <c r="I209" i="2" s="1"/>
  <c r="I51" i="2" s="1"/>
  <c r="K205" i="1"/>
  <c r="J205" i="2"/>
  <c r="K203" i="1"/>
  <c r="J203" i="2"/>
  <c r="J202" i="2" s="1"/>
  <c r="J49" i="2" s="1"/>
  <c r="K202" i="1"/>
  <c r="K48" i="1"/>
  <c r="K201" i="1"/>
  <c r="J207" i="2"/>
  <c r="K199" i="1"/>
  <c r="J201" i="2"/>
  <c r="J200" i="2" s="1"/>
  <c r="J47" i="2" s="1"/>
  <c r="F198" i="1"/>
  <c r="F47" i="1"/>
  <c r="G198" i="1"/>
  <c r="G47" i="1"/>
  <c r="H198" i="1"/>
  <c r="H47" i="1"/>
  <c r="I198" i="1"/>
  <c r="I47" i="1"/>
  <c r="J198" i="1"/>
  <c r="I198" i="2"/>
  <c r="F200" i="1"/>
  <c r="F50" i="1"/>
  <c r="G200" i="1"/>
  <c r="G50" i="1"/>
  <c r="H200" i="1"/>
  <c r="H50" i="1"/>
  <c r="I200" i="1"/>
  <c r="I50" i="1"/>
  <c r="J200" i="1"/>
  <c r="J50" i="1"/>
  <c r="F202" i="1"/>
  <c r="F48" i="1"/>
  <c r="G202" i="1"/>
  <c r="G48" i="1"/>
  <c r="H202" i="1"/>
  <c r="H48" i="1"/>
  <c r="I202" i="1"/>
  <c r="I48" i="1"/>
  <c r="J202" i="1"/>
  <c r="J48" i="1"/>
  <c r="F204" i="1"/>
  <c r="F49" i="1"/>
  <c r="G204" i="1"/>
  <c r="G49" i="1"/>
  <c r="H204" i="1"/>
  <c r="H49" i="1"/>
  <c r="I204" i="1"/>
  <c r="I49" i="1"/>
  <c r="J204" i="1"/>
  <c r="J49" i="1"/>
  <c r="F192" i="1"/>
  <c r="F191" i="1" s="1"/>
  <c r="G192" i="1"/>
  <c r="G191" i="1" s="1"/>
  <c r="H192" i="1"/>
  <c r="H191" i="1"/>
  <c r="I192" i="1"/>
  <c r="I191" i="1"/>
  <c r="J192" i="1"/>
  <c r="J191" i="1"/>
  <c r="I191" i="2" s="1"/>
  <c r="F188" i="1"/>
  <c r="F55" i="1" s="1"/>
  <c r="G188" i="1"/>
  <c r="G55" i="1" s="1"/>
  <c r="H188" i="1"/>
  <c r="H55" i="1" s="1"/>
  <c r="I188" i="1"/>
  <c r="I55" i="1" s="1"/>
  <c r="J188" i="1"/>
  <c r="I188" i="2" s="1"/>
  <c r="I57" i="2" s="1"/>
  <c r="F175" i="1"/>
  <c r="G175" i="1"/>
  <c r="G173" i="1" s="1"/>
  <c r="G172" i="1" s="1"/>
  <c r="H175" i="1"/>
  <c r="I175" i="1"/>
  <c r="J175" i="1"/>
  <c r="I175" i="2"/>
  <c r="F173" i="1"/>
  <c r="F172" i="1" s="1"/>
  <c r="H173" i="1"/>
  <c r="I173" i="1"/>
  <c r="I172" i="1" s="1"/>
  <c r="F157" i="1"/>
  <c r="G157" i="1"/>
  <c r="H157" i="1"/>
  <c r="I157" i="1"/>
  <c r="J157" i="1"/>
  <c r="I157" i="2" s="1"/>
  <c r="F144" i="1"/>
  <c r="G144" i="1"/>
  <c r="H144" i="1"/>
  <c r="I144" i="1"/>
  <c r="J144" i="1"/>
  <c r="I144" i="2"/>
  <c r="F145" i="1"/>
  <c r="F41" i="1" s="1"/>
  <c r="G145" i="1"/>
  <c r="G143" i="1" s="1"/>
  <c r="G142" i="1" s="1"/>
  <c r="H145" i="1"/>
  <c r="H41" i="1" s="1"/>
  <c r="I145" i="1"/>
  <c r="I41" i="1" s="1"/>
  <c r="J145" i="1"/>
  <c r="J41" i="1" s="1"/>
  <c r="J143" i="1"/>
  <c r="I143" i="2" s="1"/>
  <c r="I121" i="1"/>
  <c r="I34" i="1" s="1"/>
  <c r="I33" i="1" s="1"/>
  <c r="J121" i="1"/>
  <c r="I121" i="2"/>
  <c r="I34" i="2" s="1"/>
  <c r="F115" i="1"/>
  <c r="G115" i="1"/>
  <c r="H115" i="1"/>
  <c r="I115" i="1"/>
  <c r="J115" i="1"/>
  <c r="I115" i="2" s="1"/>
  <c r="I100" i="1"/>
  <c r="J100" i="1"/>
  <c r="I100" i="2"/>
  <c r="F89" i="1"/>
  <c r="G89" i="1"/>
  <c r="H89" i="1"/>
  <c r="J89" i="1"/>
  <c r="I90" i="2" s="1"/>
  <c r="J68" i="1"/>
  <c r="K313" i="1"/>
  <c r="J323" i="2"/>
  <c r="K311" i="1"/>
  <c r="J321" i="2"/>
  <c r="K310" i="1"/>
  <c r="J320" i="2"/>
  <c r="K309" i="1"/>
  <c r="J319" i="2"/>
  <c r="K308" i="1"/>
  <c r="J318" i="2"/>
  <c r="K306" i="1"/>
  <c r="J317" i="2"/>
  <c r="K304" i="1"/>
  <c r="J314" i="2"/>
  <c r="K303" i="1"/>
  <c r="J313" i="2"/>
  <c r="K302" i="1"/>
  <c r="J312" i="2"/>
  <c r="K301" i="1"/>
  <c r="J311" i="2"/>
  <c r="K300" i="1"/>
  <c r="K299" i="1"/>
  <c r="K295" i="1"/>
  <c r="K294" i="1"/>
  <c r="J306" i="2" s="1"/>
  <c r="K293" i="1"/>
  <c r="J305" i="2" s="1"/>
  <c r="K292" i="1"/>
  <c r="J304" i="2" s="1"/>
  <c r="K290" i="1"/>
  <c r="J302" i="2" s="1"/>
  <c r="K289" i="1"/>
  <c r="J301" i="2" s="1"/>
  <c r="K288" i="1"/>
  <c r="J300" i="2" s="1"/>
  <c r="K287" i="1"/>
  <c r="J299" i="2" s="1"/>
  <c r="K286" i="1"/>
  <c r="J298" i="2" s="1"/>
  <c r="K285" i="1"/>
  <c r="J297" i="2" s="1"/>
  <c r="K284" i="1"/>
  <c r="J296" i="2" s="1"/>
  <c r="K283" i="1"/>
  <c r="J295" i="2" s="1"/>
  <c r="K282" i="1"/>
  <c r="K280" i="1"/>
  <c r="J292" i="2" s="1"/>
  <c r="K279" i="1"/>
  <c r="J291" i="2" s="1"/>
  <c r="K278" i="1"/>
  <c r="J290" i="2" s="1"/>
  <c r="K277" i="1"/>
  <c r="J289" i="2" s="1"/>
  <c r="K276" i="1"/>
  <c r="J288" i="2" s="1"/>
  <c r="K275" i="1"/>
  <c r="J287" i="2" s="1"/>
  <c r="K274" i="1"/>
  <c r="J286" i="2" s="1"/>
  <c r="K273" i="1"/>
  <c r="J285" i="2" s="1"/>
  <c r="K272" i="1"/>
  <c r="J284" i="2" s="1"/>
  <c r="K271" i="1"/>
  <c r="J283" i="2" s="1"/>
  <c r="K270" i="1"/>
  <c r="J282" i="2" s="1"/>
  <c r="K268" i="1"/>
  <c r="J280" i="2" s="1"/>
  <c r="K267" i="1"/>
  <c r="J279" i="2" s="1"/>
  <c r="J40" i="2" s="1"/>
  <c r="K266" i="1"/>
  <c r="J278" i="2"/>
  <c r="K265" i="1"/>
  <c r="J277" i="2"/>
  <c r="K262" i="1"/>
  <c r="J274" i="2"/>
  <c r="K261" i="1"/>
  <c r="J273" i="2"/>
  <c r="K260" i="1"/>
  <c r="J272" i="2"/>
  <c r="K259" i="1"/>
  <c r="J271" i="2"/>
  <c r="K258" i="1"/>
  <c r="J270" i="2"/>
  <c r="K257" i="1"/>
  <c r="J269" i="2"/>
  <c r="K256" i="1"/>
  <c r="J268" i="2"/>
  <c r="K255" i="1"/>
  <c r="J267" i="2"/>
  <c r="K254" i="1"/>
  <c r="J266" i="2"/>
  <c r="K253" i="1"/>
  <c r="J265" i="2"/>
  <c r="K252" i="1"/>
  <c r="J264" i="2"/>
  <c r="K250" i="1"/>
  <c r="J261" i="2"/>
  <c r="K249" i="1"/>
  <c r="J262" i="2"/>
  <c r="K248" i="1"/>
  <c r="J260" i="2"/>
  <c r="K244" i="1"/>
  <c r="K243" i="1"/>
  <c r="J255" i="2"/>
  <c r="K242" i="1"/>
  <c r="J254" i="2" s="1"/>
  <c r="K238" i="1"/>
  <c r="J250" i="2"/>
  <c r="K237" i="1"/>
  <c r="J249" i="2" s="1"/>
  <c r="J56" i="2" s="1"/>
  <c r="K236" i="1"/>
  <c r="K235" i="1"/>
  <c r="K234" i="1"/>
  <c r="K233" i="1"/>
  <c r="J236" i="2"/>
  <c r="K232" i="1"/>
  <c r="J235" i="2" s="1"/>
  <c r="K230" i="1"/>
  <c r="J233" i="2"/>
  <c r="K229" i="1"/>
  <c r="J232" i="2" s="1"/>
  <c r="I230" i="2" s="1"/>
  <c r="K228" i="1"/>
  <c r="J231" i="2"/>
  <c r="K227" i="1"/>
  <c r="J229" i="2"/>
  <c r="K226" i="1"/>
  <c r="J228" i="2"/>
  <c r="K225" i="1"/>
  <c r="J227" i="2"/>
  <c r="K224" i="1"/>
  <c r="J226" i="2"/>
  <c r="K223" i="1"/>
  <c r="J225" i="2" s="1"/>
  <c r="K219" i="1"/>
  <c r="J224" i="2" s="1"/>
  <c r="K218" i="1"/>
  <c r="J223" i="2"/>
  <c r="K217" i="1"/>
  <c r="J222" i="2" s="1"/>
  <c r="K216" i="1"/>
  <c r="J221" i="2" s="1"/>
  <c r="K215" i="1"/>
  <c r="J220" i="2"/>
  <c r="K214" i="1"/>
  <c r="J219" i="2" s="1"/>
  <c r="K213" i="1"/>
  <c r="J218" i="2" s="1"/>
  <c r="K212" i="1"/>
  <c r="J217" i="2"/>
  <c r="J52" i="2" s="1"/>
  <c r="K211" i="1"/>
  <c r="J216" i="2" s="1"/>
  <c r="K210" i="1"/>
  <c r="J215" i="2"/>
  <c r="K208" i="1"/>
  <c r="J208" i="2"/>
  <c r="K195" i="1"/>
  <c r="J195" i="2"/>
  <c r="K194" i="1"/>
  <c r="J194" i="2"/>
  <c r="K193" i="1"/>
  <c r="J193" i="2"/>
  <c r="K190" i="1"/>
  <c r="J190" i="2"/>
  <c r="K189" i="1"/>
  <c r="K188" i="1"/>
  <c r="J188" i="2" s="1"/>
  <c r="J57" i="2" s="1"/>
  <c r="K187" i="1"/>
  <c r="J187" i="2"/>
  <c r="K186" i="1"/>
  <c r="J186" i="2"/>
  <c r="K185" i="1"/>
  <c r="J185" i="2"/>
  <c r="K184" i="1"/>
  <c r="J184" i="2"/>
  <c r="K183" i="1"/>
  <c r="J183" i="2"/>
  <c r="K182" i="1"/>
  <c r="J182" i="2"/>
  <c r="K181" i="1"/>
  <c r="J181" i="2"/>
  <c r="K180" i="1"/>
  <c r="J180" i="2"/>
  <c r="K179" i="1"/>
  <c r="J179" i="2"/>
  <c r="K178" i="1"/>
  <c r="J178" i="2" s="1"/>
  <c r="K177" i="1"/>
  <c r="J177" i="2"/>
  <c r="K176" i="1"/>
  <c r="J176" i="2" s="1"/>
  <c r="K174" i="1"/>
  <c r="J174" i="2"/>
  <c r="K171" i="1"/>
  <c r="J171" i="2" s="1"/>
  <c r="K170" i="1"/>
  <c r="J170" i="2"/>
  <c r="K169" i="1"/>
  <c r="J169" i="2" s="1"/>
  <c r="K168" i="1"/>
  <c r="J168" i="2"/>
  <c r="K167" i="1"/>
  <c r="J167" i="2" s="1"/>
  <c r="K166" i="1"/>
  <c r="J166" i="2"/>
  <c r="K165" i="1"/>
  <c r="J165" i="2" s="1"/>
  <c r="K164" i="1"/>
  <c r="J164" i="2"/>
  <c r="K163" i="1"/>
  <c r="J163" i="2" s="1"/>
  <c r="K162" i="1"/>
  <c r="J162" i="2"/>
  <c r="K161" i="1"/>
  <c r="J161" i="2" s="1"/>
  <c r="K160" i="1"/>
  <c r="J160" i="2"/>
  <c r="K159" i="1"/>
  <c r="J159" i="2" s="1"/>
  <c r="K158" i="1"/>
  <c r="J158" i="2"/>
  <c r="K156" i="1"/>
  <c r="J155" i="2" s="1"/>
  <c r="K155" i="1"/>
  <c r="J154" i="2"/>
  <c r="K154" i="1"/>
  <c r="J156" i="2" s="1"/>
  <c r="J32" i="2" s="1"/>
  <c r="K153" i="1"/>
  <c r="J153" i="2" s="1"/>
  <c r="J27" i="2" s="1"/>
  <c r="K152" i="1"/>
  <c r="J152" i="2" s="1"/>
  <c r="J39" i="2" s="1"/>
  <c r="K151" i="1"/>
  <c r="J151" i="2"/>
  <c r="J37" i="2" s="1"/>
  <c r="J36" i="2" s="1"/>
  <c r="K150" i="1"/>
  <c r="J150" i="2" s="1"/>
  <c r="K149" i="1"/>
  <c r="J149" i="2" s="1"/>
  <c r="K148" i="1"/>
  <c r="J148" i="2"/>
  <c r="K147" i="1"/>
  <c r="J147" i="2" s="1"/>
  <c r="K146" i="1"/>
  <c r="J146" i="2"/>
  <c r="K141" i="1"/>
  <c r="J141" i="2" s="1"/>
  <c r="K140" i="1"/>
  <c r="J140" i="2"/>
  <c r="K139" i="1"/>
  <c r="J139" i="2" s="1"/>
  <c r="K136" i="1"/>
  <c r="J136" i="2"/>
  <c r="K135" i="1"/>
  <c r="J135" i="2" s="1"/>
  <c r="K134" i="1"/>
  <c r="J134" i="2"/>
  <c r="K133" i="1"/>
  <c r="J133" i="2" s="1"/>
  <c r="K132" i="1"/>
  <c r="J132" i="2"/>
  <c r="K131" i="1"/>
  <c r="J131" i="2" s="1"/>
  <c r="K130" i="1"/>
  <c r="J130" i="2"/>
  <c r="K129" i="1"/>
  <c r="J129" i="2" s="1"/>
  <c r="K128" i="1"/>
  <c r="J128" i="2"/>
  <c r="K127" i="1"/>
  <c r="J127" i="2" s="1"/>
  <c r="K126" i="1"/>
  <c r="J126" i="2"/>
  <c r="K125" i="1"/>
  <c r="J125" i="2" s="1"/>
  <c r="K124" i="1"/>
  <c r="J124" i="2"/>
  <c r="K123" i="1"/>
  <c r="J123" i="2" s="1"/>
  <c r="K122" i="1"/>
  <c r="J122" i="2"/>
  <c r="K120" i="1"/>
  <c r="J120" i="2" s="1"/>
  <c r="K119" i="1"/>
  <c r="K30" i="1"/>
  <c r="K118" i="1"/>
  <c r="J118" i="2" s="1"/>
  <c r="J28" i="2"/>
  <c r="K117" i="1"/>
  <c r="J117" i="2" s="1"/>
  <c r="K116" i="1"/>
  <c r="J116" i="2" s="1"/>
  <c r="J26" i="2" s="1"/>
  <c r="J25" i="2" s="1"/>
  <c r="K111" i="1"/>
  <c r="K109" i="1"/>
  <c r="K108" i="1"/>
  <c r="J108" i="2"/>
  <c r="K107" i="1"/>
  <c r="J107" i="2" s="1"/>
  <c r="K105" i="1"/>
  <c r="J105" i="2"/>
  <c r="K103" i="1"/>
  <c r="J103" i="2" s="1"/>
  <c r="K102" i="1"/>
  <c r="J102" i="2"/>
  <c r="K101" i="1"/>
  <c r="J101" i="2" s="1"/>
  <c r="K99" i="1"/>
  <c r="K98" i="1"/>
  <c r="J98" i="2"/>
  <c r="K97" i="1"/>
  <c r="K96" i="1"/>
  <c r="J96" i="2"/>
  <c r="K95" i="1"/>
  <c r="K94" i="1"/>
  <c r="J94" i="2" s="1"/>
  <c r="K93" i="1"/>
  <c r="K92" i="1"/>
  <c r="J92" i="2" s="1"/>
  <c r="K90" i="1"/>
  <c r="K88" i="1"/>
  <c r="K91" i="1"/>
  <c r="J91" i="2" s="1"/>
  <c r="N15" i="1"/>
  <c r="P18" i="1"/>
  <c r="D23" i="1"/>
  <c r="E23" i="1"/>
  <c r="D24" i="1"/>
  <c r="E24" i="1"/>
  <c r="D26" i="1"/>
  <c r="D25" i="1" s="1"/>
  <c r="E26" i="1"/>
  <c r="E25" i="1"/>
  <c r="D27" i="1"/>
  <c r="M27" i="1" s="1"/>
  <c r="E27" i="1"/>
  <c r="O27" i="1"/>
  <c r="N27" i="1"/>
  <c r="M104" i="1" s="1"/>
  <c r="M107" i="1" s="1"/>
  <c r="P27" i="1"/>
  <c r="O109" i="1" s="1"/>
  <c r="Q27" i="1"/>
  <c r="D28" i="1"/>
  <c r="E28" i="1"/>
  <c r="D30" i="1"/>
  <c r="D29" i="1"/>
  <c r="E30" i="1"/>
  <c r="E29" i="1" s="1"/>
  <c r="D31" i="1"/>
  <c r="E31" i="1"/>
  <c r="D32" i="1"/>
  <c r="E32" i="1"/>
  <c r="D37" i="1"/>
  <c r="D36" i="1"/>
  <c r="E37" i="1"/>
  <c r="E36" i="1" s="1"/>
  <c r="D39" i="1"/>
  <c r="E39" i="1"/>
  <c r="E38" i="1"/>
  <c r="D40" i="1"/>
  <c r="D38" i="1" s="1"/>
  <c r="E40" i="1"/>
  <c r="D43" i="1"/>
  <c r="E43" i="1"/>
  <c r="E42" i="1" s="1"/>
  <c r="D44" i="1"/>
  <c r="E44" i="1"/>
  <c r="D52" i="1"/>
  <c r="E52" i="1"/>
  <c r="D53" i="1"/>
  <c r="D54" i="1"/>
  <c r="E54" i="1"/>
  <c r="D59" i="1"/>
  <c r="D58" i="1" s="1"/>
  <c r="E59" i="1"/>
  <c r="E58" i="1"/>
  <c r="D64" i="1"/>
  <c r="E64" i="1"/>
  <c r="D10" i="3"/>
  <c r="N10" i="3" s="1"/>
  <c r="S10" i="3" s="1"/>
  <c r="X10" i="3" s="1"/>
  <c r="AC10" i="3" s="1"/>
  <c r="AH10" i="3" s="1"/>
  <c r="F64" i="1"/>
  <c r="G64" i="1"/>
  <c r="H64" i="1"/>
  <c r="I64" i="1"/>
  <c r="D65" i="1"/>
  <c r="D68" i="1"/>
  <c r="I70" i="1"/>
  <c r="E71" i="1"/>
  <c r="K71" i="1"/>
  <c r="F71" i="1"/>
  <c r="G71" i="1"/>
  <c r="H71" i="1"/>
  <c r="I71" i="1"/>
  <c r="I68" i="1" s="1"/>
  <c r="E72" i="1"/>
  <c r="K72" i="1" s="1"/>
  <c r="F72" i="1"/>
  <c r="G72" i="1"/>
  <c r="H72" i="1"/>
  <c r="I72" i="1"/>
  <c r="E73" i="1"/>
  <c r="K73" i="1" s="1"/>
  <c r="J73" i="2" s="1"/>
  <c r="F73" i="1"/>
  <c r="G73" i="1"/>
  <c r="H73" i="1"/>
  <c r="I73" i="1"/>
  <c r="E74" i="1"/>
  <c r="K74" i="1"/>
  <c r="J74" i="2" s="1"/>
  <c r="F74" i="1"/>
  <c r="G74" i="1"/>
  <c r="H74" i="1"/>
  <c r="I74" i="1"/>
  <c r="E75" i="1"/>
  <c r="K75" i="1"/>
  <c r="J75" i="2"/>
  <c r="F75" i="1"/>
  <c r="G75" i="1"/>
  <c r="H75" i="1"/>
  <c r="I75" i="1"/>
  <c r="E76" i="1"/>
  <c r="K76" i="1" s="1"/>
  <c r="J76" i="2" s="1"/>
  <c r="F76" i="1"/>
  <c r="G76" i="1"/>
  <c r="H76" i="1"/>
  <c r="I76" i="1"/>
  <c r="E77" i="1"/>
  <c r="K77" i="1" s="1"/>
  <c r="J77" i="2" s="1"/>
  <c r="I77" i="1"/>
  <c r="E78" i="1"/>
  <c r="K78" i="1" s="1"/>
  <c r="J79" i="2" s="1"/>
  <c r="F78" i="1"/>
  <c r="E79" i="2"/>
  <c r="G78" i="1"/>
  <c r="F79" i="2" s="1"/>
  <c r="H78" i="1"/>
  <c r="G79" i="2"/>
  <c r="I78" i="1"/>
  <c r="H79" i="2" s="1"/>
  <c r="E79" i="1"/>
  <c r="K79" i="1"/>
  <c r="I79" i="1"/>
  <c r="E80" i="1"/>
  <c r="K80" i="1"/>
  <c r="J80" i="2"/>
  <c r="F80" i="1"/>
  <c r="G80" i="1"/>
  <c r="H80" i="1"/>
  <c r="I80" i="1"/>
  <c r="E81" i="1"/>
  <c r="K81" i="1" s="1"/>
  <c r="J81" i="2" s="1"/>
  <c r="F81" i="1"/>
  <c r="G81" i="1"/>
  <c r="H81" i="1"/>
  <c r="I81" i="1"/>
  <c r="E82" i="1"/>
  <c r="K82" i="1" s="1"/>
  <c r="J82" i="2" s="1"/>
  <c r="F82" i="1"/>
  <c r="G82" i="1"/>
  <c r="H82" i="1"/>
  <c r="I82" i="1"/>
  <c r="E83" i="1"/>
  <c r="K83" i="1"/>
  <c r="J83" i="2" s="1"/>
  <c r="F83" i="1"/>
  <c r="G83" i="1"/>
  <c r="H83" i="1"/>
  <c r="I83" i="1"/>
  <c r="E84" i="1"/>
  <c r="K84" i="1"/>
  <c r="J84" i="2"/>
  <c r="I84" i="1"/>
  <c r="E85" i="1"/>
  <c r="K85" i="1"/>
  <c r="J85" i="2"/>
  <c r="F85" i="1"/>
  <c r="G85" i="1"/>
  <c r="H85" i="1"/>
  <c r="I85" i="1"/>
  <c r="E89" i="1"/>
  <c r="D92" i="1"/>
  <c r="D89" i="1"/>
  <c r="I92" i="1"/>
  <c r="I89" i="1" s="1"/>
  <c r="I87" i="1" s="1"/>
  <c r="L92" i="1"/>
  <c r="M92" i="1"/>
  <c r="N92" i="1"/>
  <c r="O92" i="1"/>
  <c r="D100" i="1"/>
  <c r="D336" i="1"/>
  <c r="D87" i="1"/>
  <c r="L102" i="1"/>
  <c r="M102" i="1"/>
  <c r="N102" i="1"/>
  <c r="O102" i="1"/>
  <c r="E104" i="1"/>
  <c r="E100" i="1"/>
  <c r="F104" i="1"/>
  <c r="F100" i="1" s="1"/>
  <c r="G104" i="1"/>
  <c r="G100" i="1" s="1"/>
  <c r="G100" i="2" s="1"/>
  <c r="H104" i="1"/>
  <c r="H100" i="1" s="1"/>
  <c r="O104" i="1"/>
  <c r="O107" i="1" s="1"/>
  <c r="E106" i="1"/>
  <c r="K106" i="1"/>
  <c r="J106" i="2"/>
  <c r="F106" i="1"/>
  <c r="G106" i="1"/>
  <c r="H106" i="1"/>
  <c r="M109" i="1"/>
  <c r="D115" i="1"/>
  <c r="E115" i="1"/>
  <c r="D121" i="1"/>
  <c r="D114" i="1" s="1"/>
  <c r="L136" i="1"/>
  <c r="L137" i="1"/>
  <c r="E137" i="1"/>
  <c r="K137" i="1" s="1"/>
  <c r="E138" i="1"/>
  <c r="K138" i="1"/>
  <c r="J138" i="2"/>
  <c r="F138" i="1"/>
  <c r="G138" i="1"/>
  <c r="G121" i="1"/>
  <c r="H138" i="1"/>
  <c r="H121" i="1" s="1"/>
  <c r="H34" i="1" s="1"/>
  <c r="H33" i="1" s="1"/>
  <c r="F140" i="1"/>
  <c r="F121" i="1" s="1"/>
  <c r="D144" i="1"/>
  <c r="E144" i="1"/>
  <c r="D145" i="1"/>
  <c r="D41" i="1" s="1"/>
  <c r="E145" i="1"/>
  <c r="E41" i="1"/>
  <c r="D157" i="1"/>
  <c r="D143" i="1" s="1"/>
  <c r="D142" i="1" s="1"/>
  <c r="E157" i="1"/>
  <c r="E143" i="1"/>
  <c r="E142" i="1" s="1"/>
  <c r="D175" i="1"/>
  <c r="D173" i="1" s="1"/>
  <c r="E175" i="1"/>
  <c r="E173" i="1"/>
  <c r="E172" i="1" s="1"/>
  <c r="D188" i="1"/>
  <c r="E188" i="1"/>
  <c r="E55" i="1"/>
  <c r="D192" i="1"/>
  <c r="D191" i="1" s="1"/>
  <c r="E192" i="1"/>
  <c r="E191" i="1"/>
  <c r="D198" i="1"/>
  <c r="D47" i="1" s="1"/>
  <c r="E198" i="1"/>
  <c r="E47" i="1"/>
  <c r="D200" i="1"/>
  <c r="D50" i="1" s="1"/>
  <c r="E200" i="1"/>
  <c r="E50" i="1"/>
  <c r="D202" i="1"/>
  <c r="D48" i="1" s="1"/>
  <c r="E202" i="1"/>
  <c r="D204" i="1"/>
  <c r="D49" i="1" s="1"/>
  <c r="E204" i="1"/>
  <c r="E49" i="1"/>
  <c r="D209" i="1"/>
  <c r="E209" i="1"/>
  <c r="D222" i="1"/>
  <c r="D220" i="1"/>
  <c r="I223" i="1"/>
  <c r="I222" i="1" s="1"/>
  <c r="I220" i="1" s="1"/>
  <c r="I207" i="1" s="1"/>
  <c r="I206" i="1" s="1"/>
  <c r="I51" i="1" s="1"/>
  <c r="D241" i="1"/>
  <c r="D240" i="1" s="1"/>
  <c r="E241" i="1"/>
  <c r="E240" i="1"/>
  <c r="D243" i="1"/>
  <c r="D56" i="1" s="1"/>
  <c r="E243" i="1"/>
  <c r="E56" i="1"/>
  <c r="L56" i="1"/>
  <c r="M56" i="1"/>
  <c r="D251" i="1"/>
  <c r="E251" i="1"/>
  <c r="D269" i="1"/>
  <c r="D264" i="1" s="1"/>
  <c r="D263" i="1" s="1"/>
  <c r="E269" i="1"/>
  <c r="E264" i="1" s="1"/>
  <c r="E263" i="1" s="1"/>
  <c r="L277" i="1"/>
  <c r="L280" i="1"/>
  <c r="M277" i="1"/>
  <c r="N277" i="1"/>
  <c r="O277" i="1"/>
  <c r="L278" i="1"/>
  <c r="L281" i="1" s="1"/>
  <c r="M278" i="1"/>
  <c r="N278" i="1"/>
  <c r="O278" i="1"/>
  <c r="D281" i="1"/>
  <c r="D45" i="1" s="1"/>
  <c r="E281" i="1"/>
  <c r="E45" i="1"/>
  <c r="U281" i="1"/>
  <c r="V281" i="1"/>
  <c r="W281" i="1"/>
  <c r="I285" i="1"/>
  <c r="I281" i="1" s="1"/>
  <c r="I45" i="1" s="1"/>
  <c r="M287" i="1"/>
  <c r="O287" i="1"/>
  <c r="P287" i="1"/>
  <c r="Q287" i="1"/>
  <c r="M288" i="1"/>
  <c r="O288" i="1"/>
  <c r="P288" i="1"/>
  <c r="Q288" i="1"/>
  <c r="U288" i="1"/>
  <c r="I289" i="1"/>
  <c r="D291" i="1"/>
  <c r="D57" i="1" s="1"/>
  <c r="E291" i="1"/>
  <c r="E57" i="1"/>
  <c r="D298" i="1"/>
  <c r="E298" i="1"/>
  <c r="K298" i="1"/>
  <c r="J310" i="2"/>
  <c r="F298" i="1"/>
  <c r="G70" i="1" s="1"/>
  <c r="G298" i="1"/>
  <c r="H70" i="1"/>
  <c r="H72" i="2" s="1"/>
  <c r="H298" i="1"/>
  <c r="I298" i="1"/>
  <c r="I299" i="1"/>
  <c r="I300" i="1"/>
  <c r="I301" i="1"/>
  <c r="I302" i="1"/>
  <c r="I303" i="1"/>
  <c r="I304" i="1"/>
  <c r="E305" i="1"/>
  <c r="K305" i="1"/>
  <c r="J315" i="2"/>
  <c r="F77" i="1"/>
  <c r="F305" i="1"/>
  <c r="G77" i="1"/>
  <c r="G77" i="2"/>
  <c r="G305" i="1"/>
  <c r="H77" i="1" s="1"/>
  <c r="H77" i="2" s="1"/>
  <c r="H305" i="1"/>
  <c r="I305" i="1"/>
  <c r="I306" i="1"/>
  <c r="H317" i="2"/>
  <c r="E307" i="1"/>
  <c r="F79" i="1" s="1"/>
  <c r="F307" i="1"/>
  <c r="G79" i="1"/>
  <c r="G307" i="1"/>
  <c r="H79" i="1" s="1"/>
  <c r="H307" i="1"/>
  <c r="I307" i="1"/>
  <c r="I308" i="1"/>
  <c r="I309" i="1"/>
  <c r="I310" i="1"/>
  <c r="I311" i="1"/>
  <c r="E312" i="1"/>
  <c r="K312" i="1" s="1"/>
  <c r="J322" i="2" s="1"/>
  <c r="F312" i="1"/>
  <c r="G84" i="1" s="1"/>
  <c r="G84" i="2" s="1"/>
  <c r="G312" i="1"/>
  <c r="H84" i="1"/>
  <c r="H312" i="1"/>
  <c r="I312" i="1"/>
  <c r="I313" i="1"/>
  <c r="I314" i="1"/>
  <c r="D318" i="1"/>
  <c r="E318" i="1"/>
  <c r="F318" i="1"/>
  <c r="G318" i="1"/>
  <c r="G336" i="2" s="1"/>
  <c r="H318" i="1"/>
  <c r="I321" i="1"/>
  <c r="I318" i="1"/>
  <c r="I316" i="1" s="1"/>
  <c r="L321" i="1"/>
  <c r="M321" i="1"/>
  <c r="N321" i="1"/>
  <c r="O321" i="1"/>
  <c r="F326" i="1"/>
  <c r="G326" i="1"/>
  <c r="H326" i="1"/>
  <c r="I330" i="1"/>
  <c r="D345" i="1"/>
  <c r="E345" i="1"/>
  <c r="F345" i="1"/>
  <c r="F358" i="2" s="1"/>
  <c r="G345" i="1"/>
  <c r="H345" i="1"/>
  <c r="I345" i="1"/>
  <c r="D351" i="1"/>
  <c r="D344" i="1" s="1"/>
  <c r="I351" i="1"/>
  <c r="I344" i="1"/>
  <c r="I343" i="1" s="1"/>
  <c r="E367" i="1"/>
  <c r="E368" i="1"/>
  <c r="E351" i="1" s="1"/>
  <c r="E344" i="1" s="1"/>
  <c r="F368" i="1"/>
  <c r="G368" i="1"/>
  <c r="G351" i="1" s="1"/>
  <c r="H368" i="1"/>
  <c r="H351" i="1"/>
  <c r="F370" i="1"/>
  <c r="F351" i="1" s="1"/>
  <c r="L370" i="1"/>
  <c r="M370" i="1"/>
  <c r="I373" i="1"/>
  <c r="I372" i="1"/>
  <c r="D374" i="1"/>
  <c r="E374" i="1"/>
  <c r="F374" i="1"/>
  <c r="F387" i="2"/>
  <c r="G374" i="1"/>
  <c r="H374" i="1"/>
  <c r="I374" i="1"/>
  <c r="D375" i="1"/>
  <c r="E375" i="1"/>
  <c r="E373" i="1" s="1"/>
  <c r="F375" i="1"/>
  <c r="G375" i="1"/>
  <c r="H375" i="1"/>
  <c r="I375" i="1"/>
  <c r="D387" i="1"/>
  <c r="D373" i="1"/>
  <c r="E387" i="1"/>
  <c r="F387" i="1"/>
  <c r="G387" i="1"/>
  <c r="G373" i="1"/>
  <c r="G372" i="1" s="1"/>
  <c r="G385" i="2" s="1"/>
  <c r="H387" i="1"/>
  <c r="H373" i="1"/>
  <c r="I387" i="1"/>
  <c r="D405" i="1"/>
  <c r="D403" i="1"/>
  <c r="E405" i="1"/>
  <c r="E403" i="1" s="1"/>
  <c r="F405" i="1"/>
  <c r="F403" i="1" s="1"/>
  <c r="F402" i="1" s="1"/>
  <c r="F415" i="2" s="1"/>
  <c r="G405" i="1"/>
  <c r="G403" i="1" s="1"/>
  <c r="H405" i="1"/>
  <c r="H403" i="1"/>
  <c r="I405" i="1"/>
  <c r="I403" i="1" s="1"/>
  <c r="I402" i="1" s="1"/>
  <c r="D418" i="1"/>
  <c r="E418" i="1"/>
  <c r="F418" i="1"/>
  <c r="F431" i="2" s="1"/>
  <c r="G418" i="1"/>
  <c r="H418" i="1"/>
  <c r="I418" i="1"/>
  <c r="I421" i="1"/>
  <c r="D422" i="1"/>
  <c r="D421" i="1"/>
  <c r="E422" i="1"/>
  <c r="E421" i="1" s="1"/>
  <c r="E434" i="2" s="1"/>
  <c r="F422" i="1"/>
  <c r="F421" i="1" s="1"/>
  <c r="F434" i="2" s="1"/>
  <c r="G422" i="1"/>
  <c r="G421" i="1"/>
  <c r="G434" i="2"/>
  <c r="H422" i="1"/>
  <c r="H421" i="1" s="1"/>
  <c r="H434" i="2" s="1"/>
  <c r="I422" i="1"/>
  <c r="D428" i="1"/>
  <c r="E428" i="1"/>
  <c r="F428" i="1"/>
  <c r="F427" i="1" s="1"/>
  <c r="G428" i="1"/>
  <c r="G427" i="1" s="1"/>
  <c r="H428" i="1"/>
  <c r="H427" i="1"/>
  <c r="I428" i="1"/>
  <c r="D430" i="1"/>
  <c r="E430" i="1"/>
  <c r="E427" i="1" s="1"/>
  <c r="F430" i="1"/>
  <c r="G430" i="1"/>
  <c r="H430" i="1"/>
  <c r="I430" i="1"/>
  <c r="D432" i="1"/>
  <c r="E432" i="1"/>
  <c r="F432" i="1"/>
  <c r="G432" i="1"/>
  <c r="H432" i="1"/>
  <c r="I432" i="1"/>
  <c r="D434" i="1"/>
  <c r="E434" i="1"/>
  <c r="F434" i="1"/>
  <c r="G434" i="1"/>
  <c r="H434" i="1"/>
  <c r="I434" i="1"/>
  <c r="I437" i="1"/>
  <c r="I436" i="1" s="1"/>
  <c r="D439" i="1"/>
  <c r="E439" i="1"/>
  <c r="F439" i="1"/>
  <c r="G439" i="1"/>
  <c r="H439" i="1"/>
  <c r="D451" i="1"/>
  <c r="D450" i="1"/>
  <c r="D482" i="2"/>
  <c r="E451" i="1"/>
  <c r="E450" i="1" s="1"/>
  <c r="E482" i="2" s="1"/>
  <c r="E471" i="2" s="1"/>
  <c r="E470" i="2" s="1"/>
  <c r="F451" i="1"/>
  <c r="F450" i="1"/>
  <c r="G451" i="1"/>
  <c r="G450" i="1" s="1"/>
  <c r="G482" i="2" s="1"/>
  <c r="H451" i="1"/>
  <c r="H450" i="1" s="1"/>
  <c r="I451" i="1"/>
  <c r="I452" i="1"/>
  <c r="D469" i="1"/>
  <c r="D468" i="1" s="1"/>
  <c r="D504" i="2" s="1"/>
  <c r="E469" i="1"/>
  <c r="E468" i="1"/>
  <c r="F469" i="1"/>
  <c r="F468" i="1" s="1"/>
  <c r="G469" i="1"/>
  <c r="G468" i="1"/>
  <c r="G504" i="2" s="1"/>
  <c r="H469" i="1"/>
  <c r="H468" i="1"/>
  <c r="I469" i="1"/>
  <c r="I468" i="1" s="1"/>
  <c r="D471" i="1"/>
  <c r="E471" i="1"/>
  <c r="F471" i="1"/>
  <c r="G471" i="1"/>
  <c r="H471" i="1"/>
  <c r="I471" i="1"/>
  <c r="D479" i="1"/>
  <c r="D475" i="1" s="1"/>
  <c r="E479" i="1"/>
  <c r="E475" i="1"/>
  <c r="E474" i="1"/>
  <c r="E512" i="2" s="1"/>
  <c r="F479" i="1"/>
  <c r="F475" i="1"/>
  <c r="G479" i="1"/>
  <c r="G475" i="1" s="1"/>
  <c r="H479" i="1"/>
  <c r="H475" i="1"/>
  <c r="I479" i="1"/>
  <c r="I475" i="1" s="1"/>
  <c r="I474" i="1" s="1"/>
  <c r="D497" i="1"/>
  <c r="D492" i="1"/>
  <c r="E497" i="1"/>
  <c r="E492" i="1" s="1"/>
  <c r="F497" i="1"/>
  <c r="F492" i="1"/>
  <c r="G497" i="1"/>
  <c r="G492" i="1" s="1"/>
  <c r="H497" i="1"/>
  <c r="H492" i="1" s="1"/>
  <c r="I497" i="1"/>
  <c r="I492" i="1" s="1"/>
  <c r="I491" i="1" s="1"/>
  <c r="D509" i="1"/>
  <c r="E509" i="1"/>
  <c r="E551" i="2" s="1"/>
  <c r="F509" i="1"/>
  <c r="G509" i="1"/>
  <c r="H509" i="1"/>
  <c r="U509" i="1"/>
  <c r="V509" i="1"/>
  <c r="W509" i="1"/>
  <c r="I513" i="1"/>
  <c r="M515" i="1"/>
  <c r="O515" i="1"/>
  <c r="P515" i="1"/>
  <c r="Q515" i="1"/>
  <c r="M516" i="1"/>
  <c r="O516" i="1"/>
  <c r="P516" i="1"/>
  <c r="Q516" i="1"/>
  <c r="U516" i="1"/>
  <c r="I517" i="1"/>
  <c r="D519" i="1"/>
  <c r="E519" i="1"/>
  <c r="E561" i="2" s="1"/>
  <c r="F519" i="1"/>
  <c r="G519" i="1"/>
  <c r="H519" i="1"/>
  <c r="I519" i="1"/>
  <c r="D525" i="1"/>
  <c r="D539" i="1"/>
  <c r="F525" i="1"/>
  <c r="F539" i="1" s="1"/>
  <c r="G525" i="1"/>
  <c r="G539" i="1"/>
  <c r="H525" i="1"/>
  <c r="H539" i="1" s="1"/>
  <c r="I525" i="1"/>
  <c r="I539" i="1"/>
  <c r="D526" i="1"/>
  <c r="D540" i="1" s="1"/>
  <c r="I531" i="1"/>
  <c r="D532" i="1"/>
  <c r="D530" i="1"/>
  <c r="E532" i="1"/>
  <c r="E530" i="1" s="1"/>
  <c r="F532" i="1"/>
  <c r="F530" i="1"/>
  <c r="G532" i="1"/>
  <c r="G530" i="1" s="1"/>
  <c r="H532" i="1"/>
  <c r="H530" i="1"/>
  <c r="I532" i="1"/>
  <c r="I533" i="1"/>
  <c r="I534" i="1"/>
  <c r="I535" i="1"/>
  <c r="I536" i="1"/>
  <c r="D543" i="1"/>
  <c r="E543" i="1"/>
  <c r="D14" i="2"/>
  <c r="F14" i="2"/>
  <c r="G14" i="2"/>
  <c r="H14" i="2"/>
  <c r="D15" i="2"/>
  <c r="D67" i="2" s="1"/>
  <c r="D61" i="2"/>
  <c r="D60" i="2"/>
  <c r="E61" i="2"/>
  <c r="E60" i="2" s="1"/>
  <c r="D66" i="2"/>
  <c r="D326" i="2"/>
  <c r="D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B77" i="2"/>
  <c r="D77" i="2"/>
  <c r="E77" i="2"/>
  <c r="F77" i="2"/>
  <c r="B78" i="2"/>
  <c r="D78" i="2"/>
  <c r="E78" i="2"/>
  <c r="F78" i="2"/>
  <c r="G78" i="2"/>
  <c r="H78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H84" i="2"/>
  <c r="D85" i="2"/>
  <c r="E85" i="2"/>
  <c r="F85" i="2"/>
  <c r="G85" i="2"/>
  <c r="H85" i="2"/>
  <c r="D90" i="2"/>
  <c r="D89" i="2"/>
  <c r="E90" i="2"/>
  <c r="E89" i="2" s="1"/>
  <c r="G89" i="2"/>
  <c r="H89" i="2"/>
  <c r="D91" i="2"/>
  <c r="E91" i="2"/>
  <c r="F91" i="2"/>
  <c r="G91" i="2"/>
  <c r="H91" i="2"/>
  <c r="D92" i="2"/>
  <c r="E92" i="2"/>
  <c r="F92" i="2"/>
  <c r="G92" i="2"/>
  <c r="H92" i="2"/>
  <c r="D94" i="2"/>
  <c r="E94" i="2"/>
  <c r="F94" i="2"/>
  <c r="G94" i="2"/>
  <c r="H94" i="2"/>
  <c r="D96" i="2"/>
  <c r="E96" i="2"/>
  <c r="F96" i="2"/>
  <c r="G96" i="2"/>
  <c r="H96" i="2"/>
  <c r="D98" i="2"/>
  <c r="E98" i="2"/>
  <c r="F98" i="2"/>
  <c r="G98" i="2"/>
  <c r="H98" i="2"/>
  <c r="D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16" i="2"/>
  <c r="D115" i="2"/>
  <c r="E116" i="2"/>
  <c r="F116" i="2"/>
  <c r="G116" i="2"/>
  <c r="H116" i="2"/>
  <c r="H115" i="2"/>
  <c r="D117" i="2"/>
  <c r="E117" i="2"/>
  <c r="F117" i="2"/>
  <c r="G117" i="2"/>
  <c r="H117" i="2"/>
  <c r="D118" i="2"/>
  <c r="D28" i="2"/>
  <c r="E118" i="2"/>
  <c r="E28" i="2"/>
  <c r="F118" i="2"/>
  <c r="F28" i="2"/>
  <c r="G118" i="2"/>
  <c r="G28" i="2"/>
  <c r="H118" i="2"/>
  <c r="H28" i="2"/>
  <c r="D119" i="2"/>
  <c r="E119" i="2"/>
  <c r="F119" i="2"/>
  <c r="G119" i="2"/>
  <c r="H119" i="2"/>
  <c r="D120" i="2"/>
  <c r="D43" i="2" s="1"/>
  <c r="E120" i="2"/>
  <c r="F120" i="2"/>
  <c r="G120" i="2"/>
  <c r="H120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6" i="2"/>
  <c r="E146" i="2"/>
  <c r="F146" i="2"/>
  <c r="F145" i="2" s="1"/>
  <c r="F41" i="2" s="1"/>
  <c r="G146" i="2"/>
  <c r="H146" i="2"/>
  <c r="D147" i="2"/>
  <c r="E147" i="2"/>
  <c r="F147" i="2"/>
  <c r="G147" i="2"/>
  <c r="H147" i="2"/>
  <c r="D148" i="2"/>
  <c r="E148" i="2"/>
  <c r="F148" i="2"/>
  <c r="G148" i="2"/>
  <c r="H148" i="2"/>
  <c r="H145" i="2" s="1"/>
  <c r="H41" i="2" s="1"/>
  <c r="D149" i="2"/>
  <c r="D144" i="2"/>
  <c r="E149" i="2"/>
  <c r="F149" i="2"/>
  <c r="F144" i="2" s="1"/>
  <c r="G149" i="2"/>
  <c r="G144" i="2"/>
  <c r="H149" i="2"/>
  <c r="H144" i="2" s="1"/>
  <c r="D150" i="2"/>
  <c r="E150" i="2"/>
  <c r="F150" i="2"/>
  <c r="G150" i="2"/>
  <c r="H150" i="2"/>
  <c r="D151" i="2"/>
  <c r="D37" i="2"/>
  <c r="D36" i="2" s="1"/>
  <c r="E151" i="2"/>
  <c r="E37" i="2"/>
  <c r="E36" i="2"/>
  <c r="F151" i="2"/>
  <c r="F37" i="2"/>
  <c r="F36" i="2"/>
  <c r="G151" i="2"/>
  <c r="G37" i="2" s="1"/>
  <c r="G36" i="2" s="1"/>
  <c r="H151" i="2"/>
  <c r="H37" i="2"/>
  <c r="H36" i="2" s="1"/>
  <c r="D152" i="2"/>
  <c r="D39" i="2"/>
  <c r="E152" i="2"/>
  <c r="E39" i="2" s="1"/>
  <c r="F152" i="2"/>
  <c r="F39" i="2"/>
  <c r="G152" i="2"/>
  <c r="G39" i="2" s="1"/>
  <c r="G38" i="2" s="1"/>
  <c r="H152" i="2"/>
  <c r="H39" i="2"/>
  <c r="D153" i="2"/>
  <c r="D27" i="2" s="1"/>
  <c r="E153" i="2"/>
  <c r="E27" i="2" s="1"/>
  <c r="F153" i="2"/>
  <c r="F27" i="2"/>
  <c r="G153" i="2"/>
  <c r="G27" i="2"/>
  <c r="H153" i="2"/>
  <c r="H27" i="2"/>
  <c r="D154" i="2"/>
  <c r="E154" i="2"/>
  <c r="F154" i="2"/>
  <c r="G154" i="2"/>
  <c r="H154" i="2"/>
  <c r="D155" i="2"/>
  <c r="E155" i="2"/>
  <c r="E43" i="2" s="1"/>
  <c r="F155" i="2"/>
  <c r="G155" i="2"/>
  <c r="H155" i="2"/>
  <c r="H43" i="2" s="1"/>
  <c r="D156" i="2"/>
  <c r="D32" i="2"/>
  <c r="E156" i="2"/>
  <c r="E32" i="2"/>
  <c r="F156" i="2"/>
  <c r="F32" i="2"/>
  <c r="G156" i="2"/>
  <c r="G32" i="2"/>
  <c r="H156" i="2"/>
  <c r="H32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3" i="2"/>
  <c r="E173" i="2"/>
  <c r="F173" i="2"/>
  <c r="G173" i="2"/>
  <c r="H173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9" i="2"/>
  <c r="D188" i="2"/>
  <c r="D57" i="2"/>
  <c r="E189" i="2"/>
  <c r="E188" i="2"/>
  <c r="E57" i="2"/>
  <c r="F189" i="2"/>
  <c r="F188" i="2" s="1"/>
  <c r="F57" i="2" s="1"/>
  <c r="G189" i="2"/>
  <c r="G188" i="2"/>
  <c r="G57" i="2" s="1"/>
  <c r="H189" i="2"/>
  <c r="H188" i="2"/>
  <c r="H57" i="2"/>
  <c r="D193" i="2"/>
  <c r="E193" i="2"/>
  <c r="F193" i="2"/>
  <c r="G193" i="2"/>
  <c r="H193" i="2"/>
  <c r="D194" i="2"/>
  <c r="E194" i="2"/>
  <c r="F194" i="2"/>
  <c r="G194" i="2"/>
  <c r="H194" i="2"/>
  <c r="D201" i="2"/>
  <c r="D198" i="2" s="1"/>
  <c r="E201" i="2"/>
  <c r="E200" i="2"/>
  <c r="E47" i="2" s="1"/>
  <c r="F201" i="2"/>
  <c r="F200" i="2"/>
  <c r="F47" i="2"/>
  <c r="G201" i="2"/>
  <c r="G200" i="2"/>
  <c r="G47" i="2"/>
  <c r="H201" i="2"/>
  <c r="H198" i="2" s="1"/>
  <c r="D203" i="2"/>
  <c r="D202" i="2" s="1"/>
  <c r="D49" i="2" s="1"/>
  <c r="E203" i="2"/>
  <c r="E202" i="2"/>
  <c r="F203" i="2"/>
  <c r="F202" i="2"/>
  <c r="F49" i="2"/>
  <c r="G203" i="2"/>
  <c r="G202" i="2" s="1"/>
  <c r="G49" i="2" s="1"/>
  <c r="H203" i="2"/>
  <c r="H202" i="2"/>
  <c r="H49" i="2" s="1"/>
  <c r="D205" i="2"/>
  <c r="D204" i="2"/>
  <c r="D50" i="2"/>
  <c r="E205" i="2"/>
  <c r="E204" i="2"/>
  <c r="E50" i="2"/>
  <c r="F205" i="2"/>
  <c r="F204" i="2" s="1"/>
  <c r="F50" i="2" s="1"/>
  <c r="G205" i="2"/>
  <c r="G204" i="2"/>
  <c r="G50" i="2" s="1"/>
  <c r="H205" i="2"/>
  <c r="H204" i="2"/>
  <c r="H50" i="2"/>
  <c r="D207" i="2"/>
  <c r="D206" i="2"/>
  <c r="D48" i="2"/>
  <c r="E207" i="2"/>
  <c r="E206" i="2" s="1"/>
  <c r="E48" i="2" s="1"/>
  <c r="F207" i="2"/>
  <c r="G207" i="2"/>
  <c r="H207" i="2"/>
  <c r="H199" i="2" s="1"/>
  <c r="B208" i="2"/>
  <c r="D209" i="2"/>
  <c r="E209" i="2"/>
  <c r="E51" i="2" s="1"/>
  <c r="F209" i="2"/>
  <c r="F51" i="2"/>
  <c r="G209" i="2"/>
  <c r="G51" i="2" s="1"/>
  <c r="H209" i="2"/>
  <c r="H51" i="2"/>
  <c r="D215" i="2"/>
  <c r="E215" i="2"/>
  <c r="D216" i="2"/>
  <c r="E216" i="2"/>
  <c r="D217" i="2"/>
  <c r="D52" i="2" s="1"/>
  <c r="E217" i="2"/>
  <c r="E52" i="2"/>
  <c r="D218" i="2"/>
  <c r="E218" i="2"/>
  <c r="B219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1" i="2"/>
  <c r="E231" i="2"/>
  <c r="D232" i="2"/>
  <c r="E232" i="2"/>
  <c r="D233" i="2"/>
  <c r="E233" i="2"/>
  <c r="D235" i="2"/>
  <c r="E235" i="2"/>
  <c r="D236" i="2"/>
  <c r="E236" i="2"/>
  <c r="D237" i="2"/>
  <c r="D238" i="2"/>
  <c r="E238" i="2"/>
  <c r="D239" i="2"/>
  <c r="E239" i="2"/>
  <c r="D240" i="2"/>
  <c r="D54" i="2" s="1"/>
  <c r="E54" i="2"/>
  <c r="D242" i="2"/>
  <c r="D241" i="2" s="1"/>
  <c r="F242" i="2"/>
  <c r="G242" i="2"/>
  <c r="H242" i="2"/>
  <c r="D243" i="2"/>
  <c r="E241" i="2"/>
  <c r="F243" i="2"/>
  <c r="G243" i="2"/>
  <c r="H243" i="2"/>
  <c r="D245" i="2"/>
  <c r="E244" i="2"/>
  <c r="F245" i="2"/>
  <c r="G245" i="2"/>
  <c r="G244" i="2" s="1"/>
  <c r="H245" i="2"/>
  <c r="D246" i="2"/>
  <c r="D244" i="2"/>
  <c r="F246" i="2"/>
  <c r="G246" i="2"/>
  <c r="H246" i="2"/>
  <c r="D248" i="2"/>
  <c r="D55" i="2"/>
  <c r="E248" i="2"/>
  <c r="E55" i="2" s="1"/>
  <c r="D249" i="2"/>
  <c r="D56" i="2"/>
  <c r="E249" i="2"/>
  <c r="E56" i="2" s="1"/>
  <c r="F249" i="2"/>
  <c r="F56" i="2"/>
  <c r="G249" i="2"/>
  <c r="G56" i="2" s="1"/>
  <c r="H249" i="2"/>
  <c r="H56" i="2"/>
  <c r="D254" i="2"/>
  <c r="D58" i="2" s="1"/>
  <c r="C590" i="2" s="1"/>
  <c r="E254" i="2"/>
  <c r="F254" i="2"/>
  <c r="G254" i="2"/>
  <c r="H254" i="2"/>
  <c r="H253" i="2" s="1"/>
  <c r="H252" i="2" s="1"/>
  <c r="D256" i="2"/>
  <c r="D255" i="2"/>
  <c r="E256" i="2"/>
  <c r="F256" i="2"/>
  <c r="G256" i="2"/>
  <c r="G255" i="2" s="1"/>
  <c r="G58" i="2" s="1"/>
  <c r="C600" i="2" s="1"/>
  <c r="H256" i="2"/>
  <c r="H255" i="2" s="1"/>
  <c r="D260" i="2"/>
  <c r="E260" i="2"/>
  <c r="F260" i="2"/>
  <c r="G260" i="2"/>
  <c r="H260" i="2"/>
  <c r="D261" i="2"/>
  <c r="F261" i="2"/>
  <c r="G261" i="2"/>
  <c r="H261" i="2"/>
  <c r="D262" i="2"/>
  <c r="F262" i="2"/>
  <c r="G262" i="2"/>
  <c r="G44" i="2" s="1"/>
  <c r="H262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H273" i="2"/>
  <c r="D277" i="2"/>
  <c r="E277" i="2"/>
  <c r="F277" i="2"/>
  <c r="G277" i="2"/>
  <c r="H277" i="2"/>
  <c r="H24" i="2" s="1"/>
  <c r="D278" i="2"/>
  <c r="E278" i="2"/>
  <c r="E31" i="2"/>
  <c r="F278" i="2"/>
  <c r="G278" i="2"/>
  <c r="H278" i="2"/>
  <c r="D279" i="2"/>
  <c r="D40" i="2"/>
  <c r="E279" i="2"/>
  <c r="E40" i="2" s="1"/>
  <c r="F279" i="2"/>
  <c r="F40" i="2"/>
  <c r="G279" i="2"/>
  <c r="G40" i="2" s="1"/>
  <c r="H279" i="2"/>
  <c r="H40" i="2"/>
  <c r="D280" i="2"/>
  <c r="E280" i="2"/>
  <c r="F280" i="2"/>
  <c r="F44" i="2"/>
  <c r="G280" i="2"/>
  <c r="H280" i="2"/>
  <c r="H44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5" i="2"/>
  <c r="E295" i="2"/>
  <c r="E293" i="2" s="1"/>
  <c r="E45" i="2" s="1"/>
  <c r="F295" i="2"/>
  <c r="G295" i="2"/>
  <c r="G293" i="2" s="1"/>
  <c r="G45" i="2" s="1"/>
  <c r="H295" i="2"/>
  <c r="D297" i="2"/>
  <c r="E297" i="2"/>
  <c r="F297" i="2"/>
  <c r="G297" i="2"/>
  <c r="H297" i="2"/>
  <c r="L295" i="2" s="1"/>
  <c r="L275" i="2" s="1"/>
  <c r="D299" i="2"/>
  <c r="E299" i="2"/>
  <c r="F299" i="2"/>
  <c r="G299" i="2"/>
  <c r="H299" i="2"/>
  <c r="L297" i="2"/>
  <c r="L301" i="2" s="1"/>
  <c r="D301" i="2"/>
  <c r="E301" i="2"/>
  <c r="F301" i="2"/>
  <c r="G301" i="2"/>
  <c r="H301" i="2"/>
  <c r="D305" i="2"/>
  <c r="E305" i="2"/>
  <c r="E303" i="2" s="1"/>
  <c r="E59" i="2" s="1"/>
  <c r="F305" i="2"/>
  <c r="G305" i="2"/>
  <c r="H305" i="2"/>
  <c r="D306" i="2"/>
  <c r="E306" i="2"/>
  <c r="F306" i="2"/>
  <c r="G306" i="2"/>
  <c r="H306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B315" i="2"/>
  <c r="D315" i="2"/>
  <c r="E315" i="2"/>
  <c r="F315" i="2"/>
  <c r="G315" i="2"/>
  <c r="H315" i="2"/>
  <c r="B316" i="2"/>
  <c r="D316" i="2"/>
  <c r="E316" i="2"/>
  <c r="F316" i="2"/>
  <c r="G316" i="2"/>
  <c r="H316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323" i="2"/>
  <c r="E323" i="2"/>
  <c r="F323" i="2"/>
  <c r="G323" i="2"/>
  <c r="H323" i="2"/>
  <c r="E326" i="2"/>
  <c r="F326" i="2"/>
  <c r="G326" i="2"/>
  <c r="H326" i="2"/>
  <c r="D331" i="2"/>
  <c r="E331" i="2"/>
  <c r="F331" i="2"/>
  <c r="G331" i="2"/>
  <c r="H331" i="2"/>
  <c r="D332" i="2"/>
  <c r="E332" i="2"/>
  <c r="F332" i="2"/>
  <c r="G332" i="2"/>
  <c r="H332" i="2"/>
  <c r="D333" i="2"/>
  <c r="D334" i="2"/>
  <c r="D335" i="2"/>
  <c r="D336" i="2"/>
  <c r="E336" i="2"/>
  <c r="F336" i="2"/>
  <c r="H336" i="2"/>
  <c r="D337" i="2"/>
  <c r="E337" i="2"/>
  <c r="F337" i="2"/>
  <c r="G337" i="2"/>
  <c r="H337" i="2"/>
  <c r="D339" i="2"/>
  <c r="E339" i="2"/>
  <c r="F339" i="2"/>
  <c r="G339" i="2"/>
  <c r="H339" i="2"/>
  <c r="D341" i="2"/>
  <c r="E341" i="2"/>
  <c r="F341" i="2"/>
  <c r="G341" i="2"/>
  <c r="H341" i="2"/>
  <c r="D344" i="2"/>
  <c r="E344" i="2"/>
  <c r="F344" i="2"/>
  <c r="G344" i="2"/>
  <c r="H344" i="2"/>
  <c r="D345" i="2"/>
  <c r="E345" i="2"/>
  <c r="F345" i="2"/>
  <c r="G345" i="2"/>
  <c r="H345" i="2"/>
  <c r="D346" i="2"/>
  <c r="E346" i="2"/>
  <c r="F346" i="2"/>
  <c r="G346" i="2"/>
  <c r="H346" i="2"/>
  <c r="D347" i="2"/>
  <c r="E347" i="2"/>
  <c r="F347" i="2"/>
  <c r="G347" i="2"/>
  <c r="H347" i="2"/>
  <c r="D348" i="2"/>
  <c r="E348" i="2"/>
  <c r="F348" i="2"/>
  <c r="G348" i="2"/>
  <c r="H348" i="2"/>
  <c r="D350" i="2"/>
  <c r="E350" i="2"/>
  <c r="F350" i="2"/>
  <c r="G350" i="2"/>
  <c r="H350" i="2"/>
  <c r="D351" i="2"/>
  <c r="E351" i="2"/>
  <c r="F351" i="2"/>
  <c r="G351" i="2"/>
  <c r="H351" i="2"/>
  <c r="D358" i="2"/>
  <c r="E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7" i="2"/>
  <c r="E387" i="2"/>
  <c r="G387" i="2"/>
  <c r="H387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H413" i="2"/>
  <c r="D414" i="2"/>
  <c r="E414" i="2"/>
  <c r="F414" i="2"/>
  <c r="G414" i="2"/>
  <c r="H414" i="2"/>
  <c r="D416" i="2"/>
  <c r="E416" i="2"/>
  <c r="F416" i="2"/>
  <c r="G416" i="2"/>
  <c r="H416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31" i="2"/>
  <c r="E431" i="2"/>
  <c r="G431" i="2"/>
  <c r="H431" i="2"/>
  <c r="D432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62" i="2"/>
  <c r="D461" i="2"/>
  <c r="E462" i="2"/>
  <c r="F462" i="2"/>
  <c r="G462" i="2"/>
  <c r="H462" i="2"/>
  <c r="H461" i="2"/>
  <c r="D464" i="2"/>
  <c r="E464" i="2"/>
  <c r="F464" i="2"/>
  <c r="G464" i="2"/>
  <c r="H464" i="2"/>
  <c r="D466" i="2"/>
  <c r="E466" i="2"/>
  <c r="F466" i="2"/>
  <c r="G466" i="2"/>
  <c r="H466" i="2"/>
  <c r="D468" i="2"/>
  <c r="E468" i="2"/>
  <c r="F468" i="2"/>
  <c r="G468" i="2"/>
  <c r="H468" i="2"/>
  <c r="D473" i="2"/>
  <c r="E473" i="2"/>
  <c r="F473" i="2"/>
  <c r="H473" i="2"/>
  <c r="D474" i="2"/>
  <c r="E474" i="2"/>
  <c r="F474" i="2"/>
  <c r="G474" i="2"/>
  <c r="H474" i="2"/>
  <c r="D475" i="2"/>
  <c r="E475" i="2"/>
  <c r="F475" i="2"/>
  <c r="G475" i="2"/>
  <c r="H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81" i="2"/>
  <c r="E481" i="2"/>
  <c r="F481" i="2"/>
  <c r="G481" i="2"/>
  <c r="H481" i="2"/>
  <c r="D484" i="2"/>
  <c r="D483" i="2"/>
  <c r="E484" i="2"/>
  <c r="F484" i="2"/>
  <c r="F483" i="2"/>
  <c r="G484" i="2"/>
  <c r="H484" i="2"/>
  <c r="H483" i="2" s="1"/>
  <c r="D485" i="2"/>
  <c r="E485" i="2"/>
  <c r="E483" i="2" s="1"/>
  <c r="F485" i="2"/>
  <c r="G485" i="2"/>
  <c r="H485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D490" i="2"/>
  <c r="E490" i="2"/>
  <c r="F490" i="2"/>
  <c r="G490" i="2"/>
  <c r="H490" i="2"/>
  <c r="D491" i="2"/>
  <c r="E491" i="2"/>
  <c r="F491" i="2"/>
  <c r="G491" i="2"/>
  <c r="H491" i="2"/>
  <c r="D492" i="2"/>
  <c r="E492" i="2"/>
  <c r="F492" i="2"/>
  <c r="G492" i="2"/>
  <c r="H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5" i="2"/>
  <c r="E505" i="2"/>
  <c r="G505" i="2"/>
  <c r="H505" i="2"/>
  <c r="D508" i="2"/>
  <c r="E508" i="2"/>
  <c r="F508" i="2"/>
  <c r="G508" i="2"/>
  <c r="H508" i="2"/>
  <c r="D509" i="2"/>
  <c r="E509" i="2"/>
  <c r="F509" i="2"/>
  <c r="G509" i="2"/>
  <c r="H509" i="2"/>
  <c r="E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H518" i="2"/>
  <c r="D519" i="2"/>
  <c r="E519" i="2"/>
  <c r="F519" i="2"/>
  <c r="G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526" i="2"/>
  <c r="E526" i="2"/>
  <c r="F526" i="2"/>
  <c r="G526" i="2"/>
  <c r="H526" i="2"/>
  <c r="D527" i="2"/>
  <c r="E527" i="2"/>
  <c r="F527" i="2"/>
  <c r="G527" i="2"/>
  <c r="H527" i="2"/>
  <c r="D528" i="2"/>
  <c r="E528" i="2"/>
  <c r="F528" i="2"/>
  <c r="G528" i="2"/>
  <c r="H528" i="2"/>
  <c r="D529" i="2"/>
  <c r="E529" i="2"/>
  <c r="F529" i="2"/>
  <c r="G529" i="2"/>
  <c r="H529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F536" i="2"/>
  <c r="G536" i="2"/>
  <c r="H536" i="2"/>
  <c r="D537" i="2"/>
  <c r="E537" i="2"/>
  <c r="F537" i="2"/>
  <c r="G537" i="2"/>
  <c r="H537" i="2"/>
  <c r="D538" i="2"/>
  <c r="E538" i="2"/>
  <c r="F538" i="2"/>
  <c r="G538" i="2"/>
  <c r="H538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D546" i="2"/>
  <c r="E546" i="2"/>
  <c r="F546" i="2"/>
  <c r="G546" i="2"/>
  <c r="H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1" i="2"/>
  <c r="F551" i="2"/>
  <c r="G551" i="2"/>
  <c r="H551" i="2"/>
  <c r="D553" i="2"/>
  <c r="E553" i="2"/>
  <c r="F553" i="2"/>
  <c r="G553" i="2"/>
  <c r="H553" i="2"/>
  <c r="D555" i="2"/>
  <c r="E555" i="2"/>
  <c r="F555" i="2"/>
  <c r="G555" i="2"/>
  <c r="H555" i="2"/>
  <c r="D557" i="2"/>
  <c r="E557" i="2"/>
  <c r="F557" i="2"/>
  <c r="G557" i="2"/>
  <c r="H557" i="2"/>
  <c r="D559" i="2"/>
  <c r="E559" i="2"/>
  <c r="F559" i="2"/>
  <c r="G559" i="2"/>
  <c r="H559" i="2"/>
  <c r="D561" i="2"/>
  <c r="F561" i="2"/>
  <c r="G561" i="2"/>
  <c r="H561" i="2"/>
  <c r="D563" i="2"/>
  <c r="E563" i="2"/>
  <c r="F563" i="2"/>
  <c r="G563" i="2"/>
  <c r="H563" i="2"/>
  <c r="D564" i="2"/>
  <c r="E564" i="2"/>
  <c r="F564" i="2"/>
  <c r="G564" i="2"/>
  <c r="H564" i="2"/>
  <c r="E567" i="2"/>
  <c r="E580" i="2"/>
  <c r="F567" i="2"/>
  <c r="F580" i="2" s="1"/>
  <c r="G567" i="2"/>
  <c r="G580" i="2"/>
  <c r="H567" i="2"/>
  <c r="H580" i="2" s="1"/>
  <c r="D585" i="2"/>
  <c r="E585" i="2"/>
  <c r="F585" i="2"/>
  <c r="G585" i="2"/>
  <c r="H585" i="2"/>
  <c r="H584" i="2"/>
  <c r="D586" i="2"/>
  <c r="E586" i="2"/>
  <c r="F586" i="2"/>
  <c r="G586" i="2"/>
  <c r="H586" i="2"/>
  <c r="C593" i="2"/>
  <c r="C594" i="2"/>
  <c r="C595" i="2"/>
  <c r="C596" i="2"/>
  <c r="C597" i="2"/>
  <c r="C10" i="3"/>
  <c r="M10" i="3"/>
  <c r="R10" i="3" s="1"/>
  <c r="W10" i="3" s="1"/>
  <c r="AB10" i="3" s="1"/>
  <c r="AG10" i="3" s="1"/>
  <c r="E10" i="3"/>
  <c r="F10" i="3"/>
  <c r="K10" i="3"/>
  <c r="G10" i="3"/>
  <c r="M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M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M15" i="3"/>
  <c r="AN15" i="3"/>
  <c r="AO15" i="3"/>
  <c r="AB16" i="3"/>
  <c r="AB15" i="3"/>
  <c r="AC16" i="3"/>
  <c r="AD16" i="3"/>
  <c r="AE16" i="3"/>
  <c r="AJ16" i="3"/>
  <c r="AF16" i="3"/>
  <c r="AL16" i="3"/>
  <c r="AL15" i="3" s="1"/>
  <c r="AL12" i="3" s="1"/>
  <c r="AL11" i="3" s="1"/>
  <c r="AB17" i="3"/>
  <c r="AG17" i="3" s="1"/>
  <c r="AC17" i="3"/>
  <c r="AD17" i="3"/>
  <c r="AI17" i="3" s="1"/>
  <c r="AE17" i="3"/>
  <c r="AJ17" i="3"/>
  <c r="AF17" i="3"/>
  <c r="AK17" i="3" s="1"/>
  <c r="AL17" i="3"/>
  <c r="AB19" i="3"/>
  <c r="AG19" i="3"/>
  <c r="AC19" i="3"/>
  <c r="AD19" i="3"/>
  <c r="AE19" i="3"/>
  <c r="AF19" i="3"/>
  <c r="AL19" i="3"/>
  <c r="AL18" i="3" s="1"/>
  <c r="AB20" i="3"/>
  <c r="AC20" i="3"/>
  <c r="AH20" i="3" s="1"/>
  <c r="AD20" i="3"/>
  <c r="AI20" i="3"/>
  <c r="AE20" i="3"/>
  <c r="AJ20" i="3" s="1"/>
  <c r="AF20" i="3"/>
  <c r="AL20" i="3"/>
  <c r="AL21" i="3"/>
  <c r="AL22" i="3"/>
  <c r="AM22" i="3"/>
  <c r="AN22" i="3"/>
  <c r="AO22" i="3"/>
  <c r="C23" i="3"/>
  <c r="D23" i="3"/>
  <c r="E23" i="3"/>
  <c r="F23" i="3"/>
  <c r="G23" i="3"/>
  <c r="AK23" i="3" s="1"/>
  <c r="H23" i="3"/>
  <c r="I23" i="3"/>
  <c r="J23" i="3"/>
  <c r="K23" i="3"/>
  <c r="L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F23" i="3"/>
  <c r="AL23" i="3"/>
  <c r="M24" i="3"/>
  <c r="AB24" i="3"/>
  <c r="AC24" i="3"/>
  <c r="AD24" i="3"/>
  <c r="AD22" i="3" s="1"/>
  <c r="AD21" i="3" s="1"/>
  <c r="AE24" i="3"/>
  <c r="AE22" i="3" s="1"/>
  <c r="AE21" i="3" s="1"/>
  <c r="C25" i="3"/>
  <c r="C13" i="3"/>
  <c r="D25" i="3"/>
  <c r="D13" i="3" s="1"/>
  <c r="E25" i="3"/>
  <c r="E13" i="3"/>
  <c r="F25" i="3"/>
  <c r="F13" i="3" s="1"/>
  <c r="G25" i="3"/>
  <c r="G13" i="3"/>
  <c r="H25" i="3"/>
  <c r="I25" i="3"/>
  <c r="I13" i="3"/>
  <c r="J25" i="3"/>
  <c r="J13" i="3" s="1"/>
  <c r="K25" i="3"/>
  <c r="K13" i="3"/>
  <c r="L25" i="3"/>
  <c r="N25" i="3"/>
  <c r="N13" i="3" s="1"/>
  <c r="O25" i="3"/>
  <c r="O13" i="3"/>
  <c r="P25" i="3"/>
  <c r="P24" i="3" s="1"/>
  <c r="Q25" i="3"/>
  <c r="AF25" i="3"/>
  <c r="AF13" i="3" s="1"/>
  <c r="AL25" i="3"/>
  <c r="AL24" i="3"/>
  <c r="C26" i="3"/>
  <c r="C14" i="3" s="1"/>
  <c r="D26" i="3"/>
  <c r="D14" i="3"/>
  <c r="E26" i="3"/>
  <c r="F26" i="3"/>
  <c r="G26" i="3"/>
  <c r="G14" i="3"/>
  <c r="H26" i="3"/>
  <c r="H14" i="3" s="1"/>
  <c r="I26" i="3"/>
  <c r="I14" i="3"/>
  <c r="J26" i="3"/>
  <c r="J14" i="3" s="1"/>
  <c r="K26" i="3"/>
  <c r="K14" i="3"/>
  <c r="L26" i="3"/>
  <c r="L14" i="3" s="1"/>
  <c r="N26" i="3"/>
  <c r="N14" i="3"/>
  <c r="O26" i="3"/>
  <c r="O14" i="3" s="1"/>
  <c r="P26" i="3"/>
  <c r="P14" i="3"/>
  <c r="Q26" i="3"/>
  <c r="Q14" i="3" s="1"/>
  <c r="AF26" i="3"/>
  <c r="AF14" i="3"/>
  <c r="AL26" i="3"/>
  <c r="AL14" i="3" s="1"/>
  <c r="C27" i="3"/>
  <c r="AG27" i="3"/>
  <c r="D27" i="3"/>
  <c r="AH27" i="3" s="1"/>
  <c r="E27" i="3"/>
  <c r="F27" i="3"/>
  <c r="G27" i="3"/>
  <c r="N27" i="3"/>
  <c r="O27" i="3"/>
  <c r="AI27" i="3"/>
  <c r="P27" i="3"/>
  <c r="AJ27" i="3"/>
  <c r="Q27" i="3"/>
  <c r="AK27" i="3" s="1"/>
  <c r="AF27" i="3"/>
  <c r="AL27" i="3"/>
  <c r="H28" i="3"/>
  <c r="AG28" i="3"/>
  <c r="I28" i="3"/>
  <c r="AH28" i="3" s="1"/>
  <c r="J28" i="3"/>
  <c r="AI28" i="3"/>
  <c r="K28" i="3"/>
  <c r="AJ28" i="3" s="1"/>
  <c r="L28" i="3"/>
  <c r="AK28" i="3"/>
  <c r="AL28" i="3"/>
  <c r="H29" i="3"/>
  <c r="AG29" i="3"/>
  <c r="I29" i="3"/>
  <c r="AH29" i="3"/>
  <c r="J29" i="3"/>
  <c r="AI29" i="3"/>
  <c r="K29" i="3"/>
  <c r="AJ29" i="3"/>
  <c r="L29" i="3"/>
  <c r="AK29" i="3"/>
  <c r="AL29" i="3"/>
  <c r="C30" i="3"/>
  <c r="D30" i="3"/>
  <c r="E30" i="3"/>
  <c r="F30" i="3"/>
  <c r="G30" i="3"/>
  <c r="H30" i="3"/>
  <c r="I30" i="3"/>
  <c r="J30" i="3"/>
  <c r="K30" i="3"/>
  <c r="L30" i="3"/>
  <c r="N30" i="3"/>
  <c r="O30" i="3"/>
  <c r="P30" i="3"/>
  <c r="Q30" i="3"/>
  <c r="R30" i="3"/>
  <c r="S30" i="3"/>
  <c r="T30" i="3"/>
  <c r="T22" i="3" s="1"/>
  <c r="U30" i="3"/>
  <c r="V30" i="3"/>
  <c r="W30" i="3"/>
  <c r="X30" i="3"/>
  <c r="Y30" i="3"/>
  <c r="Z30" i="3"/>
  <c r="AA30" i="3"/>
  <c r="AF30" i="3"/>
  <c r="AL30" i="3"/>
  <c r="H31" i="3"/>
  <c r="AG31" i="3"/>
  <c r="I31" i="3"/>
  <c r="AH31" i="3"/>
  <c r="J31" i="3"/>
  <c r="AI31" i="3"/>
  <c r="K31" i="3"/>
  <c r="AJ31" i="3"/>
  <c r="L31" i="3"/>
  <c r="AK31" i="3"/>
  <c r="AL31" i="3"/>
  <c r="H32" i="3"/>
  <c r="I32" i="3"/>
  <c r="AH32" i="3" s="1"/>
  <c r="J32" i="3"/>
  <c r="K32" i="3"/>
  <c r="L32" i="3"/>
  <c r="W32" i="3"/>
  <c r="X32" i="3"/>
  <c r="Y32" i="3"/>
  <c r="Z32" i="3"/>
  <c r="AJ32" i="3" s="1"/>
  <c r="AA32" i="3"/>
  <c r="AL32" i="3"/>
  <c r="H33" i="3"/>
  <c r="I33" i="3"/>
  <c r="AH33" i="3" s="1"/>
  <c r="J33" i="3"/>
  <c r="K33" i="3"/>
  <c r="L33" i="3"/>
  <c r="AK33" i="3" s="1"/>
  <c r="AB33" i="3"/>
  <c r="AB22" i="3"/>
  <c r="AB21" i="3"/>
  <c r="AC33" i="3"/>
  <c r="AC22" i="3" s="1"/>
  <c r="AC21" i="3" s="1"/>
  <c r="AD33" i="3"/>
  <c r="AE33" i="3"/>
  <c r="AJ33" i="3" s="1"/>
  <c r="AL33" i="3"/>
  <c r="H34" i="3"/>
  <c r="I34" i="3"/>
  <c r="AH34" i="3"/>
  <c r="J34" i="3"/>
  <c r="AI34" i="3" s="1"/>
  <c r="K34" i="3"/>
  <c r="AJ34" i="3"/>
  <c r="L34" i="3"/>
  <c r="AL34" i="3"/>
  <c r="AL35" i="3"/>
  <c r="M36" i="3"/>
  <c r="AG36" i="3" s="1"/>
  <c r="M22" i="3"/>
  <c r="N36" i="3"/>
  <c r="AH36" i="3"/>
  <c r="O36" i="3"/>
  <c r="AI36" i="3"/>
  <c r="P36" i="3"/>
  <c r="AJ36" i="3"/>
  <c r="Q36" i="3"/>
  <c r="AK36" i="3"/>
  <c r="AL36" i="3"/>
  <c r="C37" i="3"/>
  <c r="D37" i="3"/>
  <c r="E37" i="3"/>
  <c r="F37" i="3"/>
  <c r="G37" i="3"/>
  <c r="H37" i="3"/>
  <c r="I37" i="3"/>
  <c r="J37" i="3"/>
  <c r="K37" i="3"/>
  <c r="L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F37" i="3"/>
  <c r="AL37" i="3"/>
  <c r="AB38" i="3"/>
  <c r="AC38" i="3"/>
  <c r="AD38" i="3"/>
  <c r="AE38" i="3"/>
  <c r="C39" i="3"/>
  <c r="AG39" i="3"/>
  <c r="D39" i="3"/>
  <c r="E39" i="3"/>
  <c r="F39" i="3"/>
  <c r="G39" i="3"/>
  <c r="AF39" i="3"/>
  <c r="AK39" i="3" s="1"/>
  <c r="AL39" i="3"/>
  <c r="AL38" i="3"/>
  <c r="M40" i="3"/>
  <c r="AG40" i="3"/>
  <c r="N40" i="3"/>
  <c r="AH40" i="3"/>
  <c r="O40" i="3"/>
  <c r="P40" i="3"/>
  <c r="Q40" i="3"/>
  <c r="AF40" i="3"/>
  <c r="AI40" i="3"/>
  <c r="AL40" i="3"/>
  <c r="M41" i="3"/>
  <c r="AG41" i="3"/>
  <c r="N41" i="3"/>
  <c r="AH41" i="3"/>
  <c r="O41" i="3"/>
  <c r="AI41" i="3"/>
  <c r="P41" i="3"/>
  <c r="AJ41" i="3"/>
  <c r="Q41" i="3"/>
  <c r="AF41" i="3"/>
  <c r="AL41" i="3"/>
  <c r="C42" i="3"/>
  <c r="AG42" i="3" s="1"/>
  <c r="D42" i="3"/>
  <c r="AH42" i="3"/>
  <c r="E42" i="3"/>
  <c r="AI42" i="3" s="1"/>
  <c r="F42" i="3"/>
  <c r="AJ42" i="3"/>
  <c r="G42" i="3"/>
  <c r="AF42" i="3"/>
  <c r="AL42" i="3"/>
  <c r="M43" i="3"/>
  <c r="AG43" i="3"/>
  <c r="N43" i="3"/>
  <c r="AH43" i="3"/>
  <c r="O43" i="3"/>
  <c r="AI43" i="3"/>
  <c r="P43" i="3"/>
  <c r="AJ43" i="3"/>
  <c r="Q43" i="3"/>
  <c r="AF43" i="3"/>
  <c r="AL43" i="3"/>
  <c r="C44" i="3"/>
  <c r="D44" i="3"/>
  <c r="AH44" i="3"/>
  <c r="E44" i="3"/>
  <c r="F44" i="3"/>
  <c r="AJ44" i="3"/>
  <c r="G44" i="3"/>
  <c r="AK44" i="3" s="1"/>
  <c r="H44" i="3"/>
  <c r="I44" i="3"/>
  <c r="J44" i="3"/>
  <c r="AI44" i="3"/>
  <c r="K44" i="3"/>
  <c r="L44" i="3"/>
  <c r="AF44" i="3"/>
  <c r="AL44" i="3"/>
  <c r="C45" i="3"/>
  <c r="D45" i="3"/>
  <c r="E45" i="3"/>
  <c r="AI45" i="3" s="1"/>
  <c r="F45" i="3"/>
  <c r="G45" i="3"/>
  <c r="R45" i="3"/>
  <c r="S45" i="3"/>
  <c r="T45" i="3"/>
  <c r="U45" i="3"/>
  <c r="AJ45" i="3" s="1"/>
  <c r="V45" i="3"/>
  <c r="AL45" i="3"/>
  <c r="C46" i="3"/>
  <c r="D46" i="3"/>
  <c r="E46" i="3"/>
  <c r="F46" i="3"/>
  <c r="G46" i="3"/>
  <c r="AK46" i="3" s="1"/>
  <c r="M46" i="3"/>
  <c r="N46" i="3"/>
  <c r="O46" i="3"/>
  <c r="P46" i="3"/>
  <c r="Q46" i="3"/>
  <c r="AF46" i="3"/>
  <c r="AL46" i="3"/>
  <c r="C47" i="3"/>
  <c r="D47" i="3"/>
  <c r="E47" i="3"/>
  <c r="F47" i="3"/>
  <c r="AJ47" i="3" s="1"/>
  <c r="G47" i="3"/>
  <c r="H47" i="3"/>
  <c r="I47" i="3"/>
  <c r="J47" i="3"/>
  <c r="AI47" i="3" s="1"/>
  <c r="K47" i="3"/>
  <c r="L47" i="3"/>
  <c r="R47" i="3"/>
  <c r="R38" i="3" s="1"/>
  <c r="R12" i="3" s="1"/>
  <c r="R11" i="3" s="1"/>
  <c r="S47" i="3"/>
  <c r="T47" i="3"/>
  <c r="U47" i="3"/>
  <c r="U38" i="3" s="1"/>
  <c r="V47" i="3"/>
  <c r="W47" i="3"/>
  <c r="W38" i="3"/>
  <c r="X47" i="3"/>
  <c r="Y47" i="3"/>
  <c r="Y38" i="3"/>
  <c r="Z47" i="3"/>
  <c r="Z38" i="3"/>
  <c r="AA47" i="3"/>
  <c r="AA38" i="3"/>
  <c r="AF47" i="3"/>
  <c r="AL47" i="3"/>
  <c r="H48" i="3"/>
  <c r="AG48" i="3"/>
  <c r="I48" i="3"/>
  <c r="AH48" i="3"/>
  <c r="J48" i="3"/>
  <c r="AI48" i="3"/>
  <c r="K48" i="3"/>
  <c r="AJ48" i="3"/>
  <c r="L48" i="3"/>
  <c r="AK48" i="3"/>
  <c r="AL48" i="3"/>
  <c r="H49" i="3"/>
  <c r="H38" i="3" s="1"/>
  <c r="I49" i="3"/>
  <c r="J49" i="3"/>
  <c r="AI49" i="3"/>
  <c r="K49" i="3"/>
  <c r="L49" i="3"/>
  <c r="M49" i="3"/>
  <c r="N49" i="3"/>
  <c r="AH49" i="3" s="1"/>
  <c r="O49" i="3"/>
  <c r="P49" i="3"/>
  <c r="AJ49" i="3"/>
  <c r="Q49" i="3"/>
  <c r="Q38" i="3" s="1"/>
  <c r="AL49" i="3"/>
  <c r="C50" i="3"/>
  <c r="D50" i="3"/>
  <c r="E50" i="3"/>
  <c r="F50" i="3"/>
  <c r="G50" i="3"/>
  <c r="H50" i="3"/>
  <c r="I50" i="3"/>
  <c r="J50" i="3"/>
  <c r="AI50" i="3" s="1"/>
  <c r="K50" i="3"/>
  <c r="L50" i="3"/>
  <c r="R50" i="3"/>
  <c r="S50" i="3"/>
  <c r="T50" i="3"/>
  <c r="U50" i="3"/>
  <c r="V50" i="3"/>
  <c r="V38" i="3" s="1"/>
  <c r="AF50" i="3"/>
  <c r="AL50" i="3"/>
  <c r="AL51" i="3"/>
  <c r="M52" i="3"/>
  <c r="M51" i="3"/>
  <c r="N52" i="3"/>
  <c r="N51" i="3"/>
  <c r="O52" i="3"/>
  <c r="O51" i="3"/>
  <c r="P52" i="3"/>
  <c r="P51" i="3"/>
  <c r="Q52" i="3"/>
  <c r="Q51" i="3"/>
  <c r="AL52" i="3"/>
  <c r="AG53" i="3"/>
  <c r="AH53" i="3"/>
  <c r="AI53" i="3"/>
  <c r="AJ53" i="3"/>
  <c r="AK53" i="3"/>
  <c r="AL53" i="3"/>
  <c r="AG54" i="3"/>
  <c r="AH54" i="3"/>
  <c r="AI54" i="3"/>
  <c r="AJ54" i="3"/>
  <c r="AK54" i="3"/>
  <c r="AL54" i="3"/>
  <c r="AL55" i="3"/>
  <c r="AL56" i="3"/>
  <c r="AL57" i="3"/>
  <c r="AL58" i="3"/>
  <c r="AG59" i="3"/>
  <c r="AH59" i="3"/>
  <c r="AI59" i="3"/>
  <c r="AJ59" i="3"/>
  <c r="AK59" i="3"/>
  <c r="AL59" i="3"/>
  <c r="AL60" i="3"/>
  <c r="AL61" i="3"/>
  <c r="AG62" i="3"/>
  <c r="AH62" i="3"/>
  <c r="AI62" i="3"/>
  <c r="AJ62" i="3"/>
  <c r="AK62" i="3"/>
  <c r="AL62" i="3"/>
  <c r="AG63" i="3"/>
  <c r="AH63" i="3"/>
  <c r="AI63" i="3"/>
  <c r="AJ63" i="3"/>
  <c r="AK63" i="3"/>
  <c r="AL63" i="3"/>
  <c r="AG64" i="3"/>
  <c r="AH64" i="3"/>
  <c r="AI64" i="3"/>
  <c r="AJ64" i="3"/>
  <c r="AK64" i="3"/>
  <c r="AL64" i="3"/>
  <c r="AL65" i="3"/>
  <c r="AG66" i="3"/>
  <c r="AH66" i="3"/>
  <c r="AH65" i="3"/>
  <c r="AI66" i="3"/>
  <c r="AI65" i="3" s="1"/>
  <c r="AJ66" i="3"/>
  <c r="AJ65" i="3"/>
  <c r="AK66" i="3"/>
  <c r="AK65" i="3" s="1"/>
  <c r="AL66" i="3"/>
  <c r="AL67" i="3"/>
  <c r="AL68" i="3"/>
  <c r="I11" i="4"/>
  <c r="I13" i="4"/>
  <c r="I35" i="4"/>
  <c r="I37" i="4"/>
  <c r="D38" i="4"/>
  <c r="I38" i="4"/>
  <c r="D39" i="4"/>
  <c r="I39" i="4" s="1"/>
  <c r="D40" i="4" s="1"/>
  <c r="I40" i="4" s="1"/>
  <c r="I10" i="5"/>
  <c r="I11" i="5"/>
  <c r="D12" i="5"/>
  <c r="D60" i="5"/>
  <c r="D21" i="4"/>
  <c r="D29" i="4" s="1"/>
  <c r="D45" i="4" s="1"/>
  <c r="F12" i="5"/>
  <c r="I12" i="5" s="1"/>
  <c r="D13" i="5"/>
  <c r="I13" i="5" s="1"/>
  <c r="D14" i="5" s="1"/>
  <c r="I18" i="5"/>
  <c r="I19" i="5"/>
  <c r="I59" i="5" s="1"/>
  <c r="I20" i="4" s="1"/>
  <c r="I28" i="4" s="1"/>
  <c r="I20" i="5"/>
  <c r="I26" i="5"/>
  <c r="I28" i="5"/>
  <c r="I34" i="5"/>
  <c r="I36" i="5"/>
  <c r="D37" i="5"/>
  <c r="I37" i="5"/>
  <c r="D38" i="5" s="1"/>
  <c r="I38" i="5" s="1"/>
  <c r="D39" i="5" s="1"/>
  <c r="I39" i="5" s="1"/>
  <c r="I42" i="5"/>
  <c r="I44" i="5"/>
  <c r="D45" i="5"/>
  <c r="I45" i="5"/>
  <c r="D46" i="5"/>
  <c r="I46" i="5" s="1"/>
  <c r="D47" i="5" s="1"/>
  <c r="I47" i="5" s="1"/>
  <c r="I50" i="5"/>
  <c r="I52" i="5"/>
  <c r="I53" i="5"/>
  <c r="I54" i="5"/>
  <c r="I55" i="5"/>
  <c r="D58" i="5"/>
  <c r="D19" i="4"/>
  <c r="D27" i="4"/>
  <c r="D43" i="4" s="1"/>
  <c r="E58" i="5"/>
  <c r="E19" i="4"/>
  <c r="E27" i="4"/>
  <c r="E43" i="4" s="1"/>
  <c r="F58" i="5"/>
  <c r="F19" i="4"/>
  <c r="F27" i="4"/>
  <c r="F43" i="4" s="1"/>
  <c r="G58" i="5"/>
  <c r="G19" i="4"/>
  <c r="G27" i="4"/>
  <c r="G43" i="4" s="1"/>
  <c r="H58" i="5"/>
  <c r="H19" i="4"/>
  <c r="H27" i="4"/>
  <c r="H43" i="4" s="1"/>
  <c r="D59" i="5"/>
  <c r="D20" i="4"/>
  <c r="D28" i="4"/>
  <c r="E59" i="5"/>
  <c r="E20" i="4" s="1"/>
  <c r="E28" i="4" s="1"/>
  <c r="F59" i="5"/>
  <c r="F20" i="4"/>
  <c r="F28" i="4" s="1"/>
  <c r="G59" i="5"/>
  <c r="G20" i="4"/>
  <c r="G28" i="4" s="1"/>
  <c r="H59" i="5"/>
  <c r="H20" i="4" s="1"/>
  <c r="H28" i="4" s="1"/>
  <c r="E60" i="5"/>
  <c r="E21" i="4" s="1"/>
  <c r="E29" i="4" s="1"/>
  <c r="E45" i="4" s="1"/>
  <c r="F60" i="5"/>
  <c r="F21" i="4" s="1"/>
  <c r="F29" i="4" s="1"/>
  <c r="F45" i="4" s="1"/>
  <c r="G60" i="5"/>
  <c r="G21" i="4" s="1"/>
  <c r="G29" i="4" s="1"/>
  <c r="G45" i="4" s="1"/>
  <c r="H60" i="5"/>
  <c r="H21" i="4" s="1"/>
  <c r="H29" i="4" s="1"/>
  <c r="H45" i="4" s="1"/>
  <c r="E61" i="5"/>
  <c r="E22" i="4" s="1"/>
  <c r="E30" i="4" s="1"/>
  <c r="E46" i="4" s="1"/>
  <c r="F61" i="5"/>
  <c r="F22" i="4" s="1"/>
  <c r="F30" i="4" s="1"/>
  <c r="F46" i="4" s="1"/>
  <c r="G61" i="5"/>
  <c r="G22" i="4" s="1"/>
  <c r="G30" i="4" s="1"/>
  <c r="G46" i="4" s="1"/>
  <c r="H61" i="5"/>
  <c r="H22" i="4" s="1"/>
  <c r="H30" i="4" s="1"/>
  <c r="H46" i="4" s="1"/>
  <c r="E62" i="5"/>
  <c r="E23" i="4" s="1"/>
  <c r="E31" i="4" s="1"/>
  <c r="E47" i="4" s="1"/>
  <c r="F62" i="5"/>
  <c r="F23" i="4" s="1"/>
  <c r="F31" i="4" s="1"/>
  <c r="F47" i="4" s="1"/>
  <c r="G62" i="5"/>
  <c r="G23" i="4" s="1"/>
  <c r="G31" i="4" s="1"/>
  <c r="G47" i="4" s="1"/>
  <c r="H62" i="5"/>
  <c r="H23" i="4" s="1"/>
  <c r="H31" i="4" s="1"/>
  <c r="H47" i="4" s="1"/>
  <c r="E63" i="5"/>
  <c r="E24" i="4" s="1"/>
  <c r="E32" i="4" s="1"/>
  <c r="E48" i="4" s="1"/>
  <c r="F63" i="5"/>
  <c r="F24" i="4"/>
  <c r="F32" i="4" s="1"/>
  <c r="F48" i="4" s="1"/>
  <c r="G63" i="5"/>
  <c r="G24" i="4"/>
  <c r="G32" i="4" s="1"/>
  <c r="G48" i="4" s="1"/>
  <c r="H63" i="5"/>
  <c r="H24" i="4"/>
  <c r="H32" i="4" s="1"/>
  <c r="H48" i="4" s="1"/>
  <c r="G68" i="5"/>
  <c r="G69" i="5"/>
  <c r="G70" i="5"/>
  <c r="G71" i="5"/>
  <c r="G73" i="5"/>
  <c r="G74" i="5"/>
  <c r="G75" i="5"/>
  <c r="G76" i="5"/>
  <c r="L282" i="1"/>
  <c r="F38" i="3"/>
  <c r="F12" i="3" s="1"/>
  <c r="F11" i="3" s="1"/>
  <c r="D21" i="5"/>
  <c r="AJ39" i="3"/>
  <c r="AK34" i="3"/>
  <c r="AG34" i="3"/>
  <c r="AI26" i="3"/>
  <c r="AI14" i="3"/>
  <c r="O24" i="3"/>
  <c r="G24" i="3"/>
  <c r="G22" i="3" s="1"/>
  <c r="G21" i="3" s="1"/>
  <c r="C24" i="3"/>
  <c r="AI23" i="3"/>
  <c r="Y22" i="3"/>
  <c r="AK20" i="3"/>
  <c r="AJ19" i="3"/>
  <c r="AJ18" i="3" s="1"/>
  <c r="AH17" i="3"/>
  <c r="F14" i="3"/>
  <c r="AL13" i="3"/>
  <c r="P10" i="3"/>
  <c r="U10" i="3" s="1"/>
  <c r="Z10" i="3" s="1"/>
  <c r="AE10" i="3" s="1"/>
  <c r="AJ10" i="3" s="1"/>
  <c r="K295" i="2"/>
  <c r="K275" i="2" s="1"/>
  <c r="E14" i="3"/>
  <c r="Q13" i="3"/>
  <c r="D253" i="2"/>
  <c r="D252" i="2" s="1"/>
  <c r="P13" i="3"/>
  <c r="L13" i="3"/>
  <c r="H13" i="3"/>
  <c r="E461" i="2"/>
  <c r="H293" i="2"/>
  <c r="H45" i="2" s="1"/>
  <c r="AK25" i="3"/>
  <c r="AK13" i="3" s="1"/>
  <c r="AG25" i="3"/>
  <c r="AG13" i="3" s="1"/>
  <c r="D281" i="2"/>
  <c r="G253" i="2"/>
  <c r="G252" i="2"/>
  <c r="E210" i="2"/>
  <c r="F198" i="2"/>
  <c r="D30" i="2"/>
  <c r="D51" i="2"/>
  <c r="D210" i="2"/>
  <c r="D199" i="2"/>
  <c r="D197" i="2" s="1"/>
  <c r="E198" i="2"/>
  <c r="F115" i="2"/>
  <c r="D26" i="2"/>
  <c r="D25" i="2" s="1"/>
  <c r="E115" i="2"/>
  <c r="F297" i="1"/>
  <c r="I297" i="1"/>
  <c r="F70" i="1"/>
  <c r="F72" i="2"/>
  <c r="E297" i="1"/>
  <c r="K297" i="1" s="1"/>
  <c r="F336" i="1"/>
  <c r="F330" i="1"/>
  <c r="H297" i="1"/>
  <c r="E70" i="1"/>
  <c r="K70" i="1" s="1"/>
  <c r="D297" i="1"/>
  <c r="G297" i="1"/>
  <c r="E197" i="1"/>
  <c r="E48" i="1"/>
  <c r="D197" i="1"/>
  <c r="D34" i="1"/>
  <c r="E247" i="1"/>
  <c r="E246" i="1" s="1"/>
  <c r="E245" i="1" s="1"/>
  <c r="E239" i="1" s="1"/>
  <c r="E22" i="1"/>
  <c r="D247" i="1"/>
  <c r="D246" i="1"/>
  <c r="D245" i="1" s="1"/>
  <c r="D239" i="1" s="1"/>
  <c r="D22" i="1"/>
  <c r="I14" i="5"/>
  <c r="D15" i="5" s="1"/>
  <c r="E72" i="2"/>
  <c r="E70" i="2" s="1"/>
  <c r="I21" i="5"/>
  <c r="D22" i="5" s="1"/>
  <c r="I61" i="5"/>
  <c r="I22" i="4" s="1"/>
  <c r="AG26" i="3"/>
  <c r="AG14" i="3"/>
  <c r="J38" i="3"/>
  <c r="J12" i="3" s="1"/>
  <c r="J11" i="3" s="1"/>
  <c r="AG52" i="3"/>
  <c r="AG51" i="3" s="1"/>
  <c r="N38" i="3"/>
  <c r="AH46" i="3"/>
  <c r="H35" i="3"/>
  <c r="AG35" i="3" s="1"/>
  <c r="AI33" i="3"/>
  <c r="AJ30" i="3"/>
  <c r="V22" i="3"/>
  <c r="AF24" i="3"/>
  <c r="AF22" i="3" s="1"/>
  <c r="AF21" i="3" s="1"/>
  <c r="H24" i="3"/>
  <c r="AE15" i="3"/>
  <c r="AE12" i="3" s="1"/>
  <c r="AE11" i="3" s="1"/>
  <c r="AG16" i="3"/>
  <c r="AG15" i="3"/>
  <c r="AG20" i="3"/>
  <c r="AG18" i="3" s="1"/>
  <c r="AH50" i="3"/>
  <c r="AI37" i="3"/>
  <c r="AG30" i="3"/>
  <c r="AH26" i="3"/>
  <c r="AH14" i="3" s="1"/>
  <c r="AJ26" i="3"/>
  <c r="AJ14" i="3" s="1"/>
  <c r="AE18" i="3"/>
  <c r="AD15" i="3"/>
  <c r="AK26" i="3"/>
  <c r="AK14" i="3" s="1"/>
  <c r="AK16" i="3"/>
  <c r="AK15" i="3" s="1"/>
  <c r="K24" i="3"/>
  <c r="K22" i="3" s="1"/>
  <c r="AJ40" i="3"/>
  <c r="AK61" i="3"/>
  <c r="AK60" i="3"/>
  <c r="AK50" i="3"/>
  <c r="AJ50" i="3"/>
  <c r="AG47" i="3"/>
  <c r="O38" i="3"/>
  <c r="AJ46" i="3"/>
  <c r="AG44" i="3"/>
  <c r="AK43" i="3"/>
  <c r="AK41" i="3"/>
  <c r="AK32" i="3"/>
  <c r="AG32" i="3"/>
  <c r="I24" i="3"/>
  <c r="I22" i="3"/>
  <c r="E24" i="3"/>
  <c r="E22" i="3" s="1"/>
  <c r="E21" i="3" s="1"/>
  <c r="P22" i="3"/>
  <c r="AH19" i="3"/>
  <c r="AH18" i="3" s="1"/>
  <c r="Q24" i="3"/>
  <c r="Q22" i="3" s="1"/>
  <c r="Q21" i="3" s="1"/>
  <c r="AI46" i="3"/>
  <c r="N24" i="3"/>
  <c r="N22" i="3" s="1"/>
  <c r="N21" i="3" s="1"/>
  <c r="F24" i="3"/>
  <c r="AJ24" i="3" s="1"/>
  <c r="AJ22" i="3" s="1"/>
  <c r="AJ23" i="3"/>
  <c r="AI19" i="3"/>
  <c r="AI18" i="3"/>
  <c r="AI16" i="3"/>
  <c r="AI15" i="3" s="1"/>
  <c r="L24" i="3"/>
  <c r="L22" i="3"/>
  <c r="L21" i="3" s="1"/>
  <c r="E525" i="1"/>
  <c r="E539" i="1" s="1"/>
  <c r="AJ52" i="3"/>
  <c r="AJ51" i="3"/>
  <c r="AI61" i="3"/>
  <c r="AI60" i="3" s="1"/>
  <c r="AH52" i="3"/>
  <c r="AH51" i="3"/>
  <c r="I60" i="5"/>
  <c r="I21" i="4" s="1"/>
  <c r="I29" i="4" s="1"/>
  <c r="I45" i="4" s="1"/>
  <c r="AG49" i="3"/>
  <c r="D14" i="4"/>
  <c r="AJ61" i="3"/>
  <c r="AJ60" i="3"/>
  <c r="I35" i="3"/>
  <c r="AH35" i="3" s="1"/>
  <c r="L35" i="3"/>
  <c r="AK35" i="3"/>
  <c r="AC18" i="3"/>
  <c r="O10" i="3"/>
  <c r="T10" i="3" s="1"/>
  <c r="Y10" i="3" s="1"/>
  <c r="AD10" i="3" s="1"/>
  <c r="AI10" i="3" s="1"/>
  <c r="J10" i="3"/>
  <c r="E491" i="1"/>
  <c r="E531" i="2" s="1"/>
  <c r="E532" i="2"/>
  <c r="AB18" i="3"/>
  <c r="I426" i="1"/>
  <c r="D427" i="1"/>
  <c r="G336" i="1"/>
  <c r="G330" i="1" s="1"/>
  <c r="N104" i="1"/>
  <c r="N107" i="1" s="1"/>
  <c r="N109" i="1"/>
  <c r="E35" i="1"/>
  <c r="E20" i="1" s="1"/>
  <c r="I14" i="4"/>
  <c r="I30" i="4" s="1"/>
  <c r="I46" i="4" s="1"/>
  <c r="D15" i="4"/>
  <c r="I15" i="4" s="1"/>
  <c r="I38" i="2"/>
  <c r="H38" i="2"/>
  <c r="F38" i="2"/>
  <c r="K222" i="1"/>
  <c r="J248" i="2" s="1"/>
  <c r="J55" i="2" s="1"/>
  <c r="I248" i="2"/>
  <c r="I55" i="2" s="1"/>
  <c r="I25" i="1"/>
  <c r="G22" i="1"/>
  <c r="I20" i="1"/>
  <c r="J22" i="1"/>
  <c r="F22" i="1"/>
  <c r="G29" i="1"/>
  <c r="H22" i="1"/>
  <c r="AB12" i="3"/>
  <c r="AB11" i="3" s="1"/>
  <c r="AK52" i="3"/>
  <c r="AK51" i="3" s="1"/>
  <c r="AH45" i="3"/>
  <c r="AG37" i="3"/>
  <c r="AF18" i="3"/>
  <c r="AH16" i="3"/>
  <c r="AH15" i="3" s="1"/>
  <c r="H10" i="3"/>
  <c r="E584" i="2"/>
  <c r="G461" i="2"/>
  <c r="H303" i="2"/>
  <c r="H59" i="2" s="1"/>
  <c r="D303" i="2"/>
  <c r="D59" i="2" s="1"/>
  <c r="D293" i="2"/>
  <c r="D45" i="2" s="1"/>
  <c r="G263" i="2"/>
  <c r="G259" i="2" s="1"/>
  <c r="G258" i="2" s="1"/>
  <c r="D230" i="2"/>
  <c r="E199" i="2"/>
  <c r="H192" i="2"/>
  <c r="H191" i="2" s="1"/>
  <c r="L104" i="1"/>
  <c r="L107" i="1"/>
  <c r="L109" i="1"/>
  <c r="F349" i="2"/>
  <c r="L38" i="3"/>
  <c r="L12" i="3" s="1"/>
  <c r="L11" i="3" s="1"/>
  <c r="AK37" i="3"/>
  <c r="W22" i="3"/>
  <c r="W21" i="3" s="1"/>
  <c r="E253" i="2"/>
  <c r="E252" i="2" s="1"/>
  <c r="E255" i="2"/>
  <c r="E58" i="2"/>
  <c r="F87" i="1"/>
  <c r="F100" i="2"/>
  <c r="F87" i="2" s="1"/>
  <c r="AG45" i="3"/>
  <c r="AJ37" i="3"/>
  <c r="J35" i="3"/>
  <c r="AI35" i="3" s="1"/>
  <c r="AI30" i="3"/>
  <c r="AD18" i="3"/>
  <c r="G303" i="2"/>
  <c r="G59" i="2" s="1"/>
  <c r="D192" i="2"/>
  <c r="D191" i="2" s="1"/>
  <c r="H68" i="1"/>
  <c r="AH37" i="3"/>
  <c r="H336" i="1"/>
  <c r="H330" i="1" s="1"/>
  <c r="H100" i="2"/>
  <c r="F192" i="2"/>
  <c r="F191" i="2" s="1"/>
  <c r="D38" i="2"/>
  <c r="G437" i="1"/>
  <c r="G436" i="1" s="1"/>
  <c r="G426" i="1" s="1"/>
  <c r="F373" i="1"/>
  <c r="F372" i="1" s="1"/>
  <c r="F385" i="2" s="1"/>
  <c r="D172" i="1"/>
  <c r="K145" i="1"/>
  <c r="J145" i="2" s="1"/>
  <c r="J41" i="2" s="1"/>
  <c r="K192" i="1"/>
  <c r="K191" i="1" s="1"/>
  <c r="J191" i="2" s="1"/>
  <c r="J87" i="1"/>
  <c r="H143" i="1"/>
  <c r="H142" i="1" s="1"/>
  <c r="D121" i="2"/>
  <c r="H87" i="1"/>
  <c r="F175" i="2"/>
  <c r="F174" i="2" s="1"/>
  <c r="F172" i="2" s="1"/>
  <c r="E145" i="2"/>
  <c r="E41" i="2" s="1"/>
  <c r="E87" i="1"/>
  <c r="K157" i="1"/>
  <c r="J157" i="2"/>
  <c r="K251" i="1"/>
  <c r="K247" i="1" s="1"/>
  <c r="E175" i="2"/>
  <c r="E174" i="2"/>
  <c r="E172" i="2" s="1"/>
  <c r="D157" i="2"/>
  <c r="E26" i="2"/>
  <c r="G145" i="2"/>
  <c r="G41" i="2" s="1"/>
  <c r="D70" i="2"/>
  <c r="I530" i="1"/>
  <c r="I509" i="1"/>
  <c r="D437" i="1"/>
  <c r="D436" i="1" s="1"/>
  <c r="D426" i="1" s="1"/>
  <c r="D35" i="1"/>
  <c r="D33" i="1" s="1"/>
  <c r="E121" i="1"/>
  <c r="D113" i="1"/>
  <c r="D112" i="1"/>
  <c r="K89" i="1"/>
  <c r="J89" i="2" s="1"/>
  <c r="K209" i="1"/>
  <c r="J209" i="2" s="1"/>
  <c r="J51" i="2" s="1"/>
  <c r="I143" i="1"/>
  <c r="I142" i="1" s="1"/>
  <c r="H172" i="1"/>
  <c r="P38" i="3"/>
  <c r="E68" i="1"/>
  <c r="AA22" i="3"/>
  <c r="AA21" i="3" s="1"/>
  <c r="AK19" i="3"/>
  <c r="AK18" i="3"/>
  <c r="E486" i="2"/>
  <c r="AI52" i="3"/>
  <c r="AI51" i="3" s="1"/>
  <c r="G486" i="2"/>
  <c r="G198" i="2"/>
  <c r="E144" i="2"/>
  <c r="D55" i="1"/>
  <c r="D471" i="2"/>
  <c r="D470" i="2"/>
  <c r="D460" i="2" s="1"/>
  <c r="I197" i="1"/>
  <c r="I196" i="1"/>
  <c r="G197" i="1"/>
  <c r="J197" i="1"/>
  <c r="I197" i="2" s="1"/>
  <c r="F197" i="1"/>
  <c r="G349" i="2"/>
  <c r="G87" i="1"/>
  <c r="G474" i="1"/>
  <c r="G513" i="2"/>
  <c r="I342" i="1"/>
  <c r="I340" i="1"/>
  <c r="F513" i="2"/>
  <c r="F474" i="1"/>
  <c r="F512" i="2" s="1"/>
  <c r="H482" i="2"/>
  <c r="H471" i="2" s="1"/>
  <c r="H470" i="2" s="1"/>
  <c r="H460" i="2" s="1"/>
  <c r="H437" i="1"/>
  <c r="H436" i="1" s="1"/>
  <c r="H426" i="1" s="1"/>
  <c r="D372" i="1"/>
  <c r="D385" i="2"/>
  <c r="D386" i="2"/>
  <c r="F532" i="2"/>
  <c r="F491" i="1"/>
  <c r="F531" i="2"/>
  <c r="F504" i="2"/>
  <c r="E343" i="1"/>
  <c r="E356" i="2" s="1"/>
  <c r="E357" i="2"/>
  <c r="D532" i="2"/>
  <c r="D491" i="1"/>
  <c r="D531" i="2" s="1"/>
  <c r="J531" i="2" s="1"/>
  <c r="H513" i="2"/>
  <c r="H474" i="1"/>
  <c r="H504" i="2"/>
  <c r="E504" i="2"/>
  <c r="D343" i="1"/>
  <c r="D342" i="1" s="1"/>
  <c r="D355" i="2" s="1"/>
  <c r="D357" i="2"/>
  <c r="J357" i="2" s="1"/>
  <c r="E364" i="2"/>
  <c r="D539" i="2"/>
  <c r="H519" i="2"/>
  <c r="F505" i="2"/>
  <c r="G473" i="2"/>
  <c r="G471" i="2"/>
  <c r="G470" i="2" s="1"/>
  <c r="G460" i="2" s="1"/>
  <c r="F417" i="2"/>
  <c r="G386" i="2"/>
  <c r="D364" i="2"/>
  <c r="D388" i="2"/>
  <c r="E25" i="2"/>
  <c r="E34" i="1"/>
  <c r="E114" i="1"/>
  <c r="E113" i="1" s="1"/>
  <c r="H349" i="2"/>
  <c r="P12" i="3"/>
  <c r="P11" i="3" s="1"/>
  <c r="H512" i="2"/>
  <c r="G512" i="2"/>
  <c r="E33" i="1"/>
  <c r="K23" i="1"/>
  <c r="J142" i="1"/>
  <c r="I142" i="2"/>
  <c r="K27" i="1"/>
  <c r="K43" i="1"/>
  <c r="I10" i="3"/>
  <c r="J199" i="2"/>
  <c r="J206" i="2"/>
  <c r="J48" i="2" s="1"/>
  <c r="K200" i="1"/>
  <c r="K50" i="1"/>
  <c r="E49" i="2"/>
  <c r="G26" i="2"/>
  <c r="H70" i="2"/>
  <c r="C598" i="2"/>
  <c r="G584" i="2"/>
  <c r="D567" i="2"/>
  <c r="D580" i="2" s="1"/>
  <c r="D24" i="2"/>
  <c r="H30" i="2"/>
  <c r="H29" i="2" s="1"/>
  <c r="G87" i="2"/>
  <c r="I58" i="2"/>
  <c r="G230" i="2"/>
  <c r="I52" i="2"/>
  <c r="D31" i="2"/>
  <c r="D29" i="2" s="1"/>
  <c r="F584" i="2"/>
  <c r="K297" i="2"/>
  <c r="K301" i="2"/>
  <c r="F31" i="2"/>
  <c r="E230" i="2"/>
  <c r="G23" i="2"/>
  <c r="G22" i="2" s="1"/>
  <c r="J24" i="2"/>
  <c r="D114" i="2"/>
  <c r="D113" i="2"/>
  <c r="E44" i="2"/>
  <c r="D214" i="2"/>
  <c r="D213" i="2" s="1"/>
  <c r="D145" i="2"/>
  <c r="D41" i="2" s="1"/>
  <c r="J44" i="2"/>
  <c r="I26" i="2"/>
  <c r="I25" i="2"/>
  <c r="I24" i="2"/>
  <c r="I31" i="2"/>
  <c r="I29" i="2" s="1"/>
  <c r="I199" i="2"/>
  <c r="W12" i="3"/>
  <c r="W11" i="3" s="1"/>
  <c r="V12" i="3"/>
  <c r="V11" i="3" s="1"/>
  <c r="V21" i="3"/>
  <c r="Y21" i="3"/>
  <c r="Y12" i="3"/>
  <c r="Y11" i="3" s="1"/>
  <c r="J90" i="2"/>
  <c r="AG50" i="3"/>
  <c r="H58" i="2"/>
  <c r="C601" i="2" s="1"/>
  <c r="J263" i="2"/>
  <c r="F22" i="3"/>
  <c r="F21" i="3"/>
  <c r="M38" i="3"/>
  <c r="M21" i="3" s="1"/>
  <c r="H87" i="2"/>
  <c r="E15" i="2"/>
  <c r="D327" i="2"/>
  <c r="D568" i="2" s="1"/>
  <c r="E581" i="2" s="1"/>
  <c r="C599" i="2"/>
  <c r="J58" i="2"/>
  <c r="K41" i="1"/>
  <c r="H31" i="2"/>
  <c r="F24" i="2"/>
  <c r="F30" i="2"/>
  <c r="F29" i="2" s="1"/>
  <c r="F23" i="2"/>
  <c r="H26" i="2"/>
  <c r="H25" i="2" s="1"/>
  <c r="K144" i="1"/>
  <c r="J144" i="2"/>
  <c r="J31" i="2"/>
  <c r="K56" i="1"/>
  <c r="K54" i="1"/>
  <c r="K52" i="1"/>
  <c r="K40" i="1"/>
  <c r="K32" i="1"/>
  <c r="K28" i="1"/>
  <c r="G214" i="2"/>
  <c r="G213" i="2" s="1"/>
  <c r="G31" i="2"/>
  <c r="G199" i="2"/>
  <c r="G197" i="2" s="1"/>
  <c r="G206" i="2"/>
  <c r="G48" i="2" s="1"/>
  <c r="G115" i="2"/>
  <c r="J239" i="2"/>
  <c r="J256" i="2"/>
  <c r="K204" i="1"/>
  <c r="J119" i="2"/>
  <c r="J30" i="2" s="1"/>
  <c r="F214" i="2"/>
  <c r="F213" i="2" s="1"/>
  <c r="F199" i="2"/>
  <c r="F206" i="2"/>
  <c r="F48" i="2" s="1"/>
  <c r="G43" i="2"/>
  <c r="G42" i="2"/>
  <c r="H23" i="2"/>
  <c r="H22" i="2" s="1"/>
  <c r="K175" i="1"/>
  <c r="J175" i="2"/>
  <c r="K241" i="1"/>
  <c r="J253" i="2" s="1"/>
  <c r="K269" i="1"/>
  <c r="K264" i="1" s="1"/>
  <c r="J281" i="2"/>
  <c r="J35" i="2" s="1"/>
  <c r="J33" i="2" s="1"/>
  <c r="K55" i="1"/>
  <c r="K44" i="1"/>
  <c r="K42" i="1" s="1"/>
  <c r="K39" i="1"/>
  <c r="K38" i="1" s="1"/>
  <c r="K24" i="1"/>
  <c r="K20" i="1" s="1"/>
  <c r="I214" i="2"/>
  <c r="I213" i="2" s="1"/>
  <c r="J210" i="2"/>
  <c r="G24" i="2"/>
  <c r="F43" i="2"/>
  <c r="F42" i="2"/>
  <c r="G30" i="2"/>
  <c r="G29" i="2" s="1"/>
  <c r="F26" i="2"/>
  <c r="F25" i="2"/>
  <c r="K59" i="1"/>
  <c r="J61" i="2" s="1"/>
  <c r="J60" i="2" s="1"/>
  <c r="K37" i="1"/>
  <c r="K36" i="1" s="1"/>
  <c r="K31" i="1"/>
  <c r="K29" i="1" s="1"/>
  <c r="K26" i="1"/>
  <c r="K25" i="1" s="1"/>
  <c r="J78" i="2"/>
  <c r="H214" i="2"/>
  <c r="H213" i="2" s="1"/>
  <c r="J238" i="2"/>
  <c r="F210" i="2"/>
  <c r="H206" i="2"/>
  <c r="H48" i="2" s="1"/>
  <c r="H52" i="2"/>
  <c r="G52" i="2"/>
  <c r="K58" i="1"/>
  <c r="K35" i="1"/>
  <c r="M12" i="3"/>
  <c r="M11" i="3" s="1"/>
  <c r="J204" i="2"/>
  <c r="J50" i="2"/>
  <c r="K49" i="1"/>
  <c r="K53" i="1"/>
  <c r="K220" i="1"/>
  <c r="J212" i="2" s="1"/>
  <c r="J211" i="2" s="1"/>
  <c r="J53" i="2" s="1"/>
  <c r="F343" i="2"/>
  <c r="F329" i="2" s="1"/>
  <c r="F316" i="1"/>
  <c r="F473" i="1"/>
  <c r="G25" i="2"/>
  <c r="C38" i="3"/>
  <c r="C12" i="3" s="1"/>
  <c r="C11" i="3" s="1"/>
  <c r="N12" i="3"/>
  <c r="N11" i="3" s="1"/>
  <c r="Z12" i="3"/>
  <c r="Z11" i="3"/>
  <c r="AF38" i="3"/>
  <c r="AK40" i="3"/>
  <c r="AI39" i="3"/>
  <c r="E38" i="3"/>
  <c r="S22" i="3"/>
  <c r="O22" i="3"/>
  <c r="I473" i="1"/>
  <c r="D513" i="2"/>
  <c r="D474" i="1"/>
  <c r="H386" i="2"/>
  <c r="H372" i="1"/>
  <c r="H385" i="2"/>
  <c r="G68" i="1"/>
  <c r="G72" i="2"/>
  <c r="G70" i="2" s="1"/>
  <c r="D207" i="1"/>
  <c r="D212" i="2"/>
  <c r="D211" i="2" s="1"/>
  <c r="D53" i="2" s="1"/>
  <c r="E336" i="1"/>
  <c r="E100" i="2"/>
  <c r="AD12" i="3"/>
  <c r="AD11" i="3" s="1"/>
  <c r="G38" i="3"/>
  <c r="AK42" i="3"/>
  <c r="AH39" i="3"/>
  <c r="D38" i="3"/>
  <c r="D12" i="3"/>
  <c r="D11" i="3" s="1"/>
  <c r="AG33" i="3"/>
  <c r="H12" i="3"/>
  <c r="H11" i="3" s="1"/>
  <c r="Z22" i="3"/>
  <c r="Z21" i="3"/>
  <c r="F437" i="1"/>
  <c r="F436" i="1" s="1"/>
  <c r="F426" i="1" s="1"/>
  <c r="F482" i="2"/>
  <c r="F471" i="2" s="1"/>
  <c r="F470" i="2" s="1"/>
  <c r="F460" i="2" s="1"/>
  <c r="H402" i="1"/>
  <c r="H415" i="2" s="1"/>
  <c r="H417" i="2"/>
  <c r="E372" i="1"/>
  <c r="E385" i="2"/>
  <c r="E386" i="2"/>
  <c r="H344" i="1"/>
  <c r="H364" i="2"/>
  <c r="AH61" i="3"/>
  <c r="AH60" i="3" s="1"/>
  <c r="AK49" i="3"/>
  <c r="AH47" i="3"/>
  <c r="T38" i="3"/>
  <c r="T12" i="3" s="1"/>
  <c r="T11" i="3" s="1"/>
  <c r="AK47" i="3"/>
  <c r="AK45" i="3"/>
  <c r="AI32" i="3"/>
  <c r="U22" i="3"/>
  <c r="U21" i="3"/>
  <c r="AH30" i="3"/>
  <c r="G402" i="1"/>
  <c r="G415" i="2" s="1"/>
  <c r="G417" i="2"/>
  <c r="D417" i="2"/>
  <c r="D402" i="1"/>
  <c r="D415" i="2" s="1"/>
  <c r="G344" i="1"/>
  <c r="G364" i="2"/>
  <c r="G34" i="1"/>
  <c r="G33" i="1" s="1"/>
  <c r="G114" i="1"/>
  <c r="G113" i="1"/>
  <c r="G112" i="1" s="1"/>
  <c r="D330" i="1"/>
  <c r="D349" i="2"/>
  <c r="F22" i="2"/>
  <c r="K143" i="1"/>
  <c r="P21" i="3"/>
  <c r="X22" i="3"/>
  <c r="C22" i="3"/>
  <c r="C21" i="3" s="1"/>
  <c r="I467" i="1"/>
  <c r="F364" i="2"/>
  <c r="F344" i="1"/>
  <c r="F34" i="1"/>
  <c r="F33" i="1" s="1"/>
  <c r="F114" i="1"/>
  <c r="F113" i="1"/>
  <c r="J137" i="2"/>
  <c r="K121" i="1"/>
  <c r="K35" i="3"/>
  <c r="AJ35" i="3"/>
  <c r="AI25" i="3"/>
  <c r="AI13" i="3" s="1"/>
  <c r="AH25" i="3"/>
  <c r="AH13" i="3"/>
  <c r="J24" i="3"/>
  <c r="J22" i="3" s="1"/>
  <c r="J21" i="3" s="1"/>
  <c r="D24" i="3"/>
  <c r="AJ25" i="3"/>
  <c r="AJ13" i="3" s="1"/>
  <c r="AG23" i="3"/>
  <c r="AG61" i="3"/>
  <c r="AG60" i="3" s="1"/>
  <c r="S38" i="3"/>
  <c r="S12" i="3"/>
  <c r="S11" i="3"/>
  <c r="AA12" i="3"/>
  <c r="AA11" i="3" s="1"/>
  <c r="AG46" i="3"/>
  <c r="R22" i="3"/>
  <c r="Q12" i="3"/>
  <c r="Q11" i="3" s="1"/>
  <c r="AC15" i="3"/>
  <c r="G483" i="2"/>
  <c r="F461" i="2"/>
  <c r="F303" i="2"/>
  <c r="F59" i="2"/>
  <c r="E263" i="2"/>
  <c r="H263" i="2"/>
  <c r="H259" i="2" s="1"/>
  <c r="G192" i="2"/>
  <c r="G191" i="2"/>
  <c r="H175" i="2"/>
  <c r="H157" i="2"/>
  <c r="H143" i="2"/>
  <c r="H142" i="2"/>
  <c r="E30" i="2"/>
  <c r="E29" i="2" s="1"/>
  <c r="D23" i="2"/>
  <c r="D22" i="2"/>
  <c r="K307" i="1"/>
  <c r="H114" i="1"/>
  <c r="H113" i="1"/>
  <c r="H112" i="1"/>
  <c r="K104" i="1"/>
  <c r="J104" i="2" s="1"/>
  <c r="G20" i="1"/>
  <c r="U12" i="3"/>
  <c r="U11" i="3"/>
  <c r="AK30" i="3"/>
  <c r="AF15" i="3"/>
  <c r="AF12" i="3"/>
  <c r="AF11" i="3"/>
  <c r="D584" i="2"/>
  <c r="D486" i="2"/>
  <c r="E460" i="2"/>
  <c r="F293" i="2"/>
  <c r="F45" i="2" s="1"/>
  <c r="E24" i="2"/>
  <c r="E214" i="2"/>
  <c r="E213" i="2" s="1"/>
  <c r="E192" i="2"/>
  <c r="E191" i="2" s="1"/>
  <c r="H121" i="2"/>
  <c r="F121" i="2"/>
  <c r="E87" i="2"/>
  <c r="D400" i="2"/>
  <c r="I46" i="1"/>
  <c r="I19" i="1"/>
  <c r="I18" i="1"/>
  <c r="F486" i="2"/>
  <c r="H486" i="2"/>
  <c r="E281" i="2"/>
  <c r="E276" i="2" s="1"/>
  <c r="E275" i="2" s="1"/>
  <c r="G281" i="2"/>
  <c r="D263" i="2"/>
  <c r="D259" i="2" s="1"/>
  <c r="D258" i="2" s="1"/>
  <c r="G175" i="2"/>
  <c r="G174" i="2" s="1"/>
  <c r="G172" i="2" s="1"/>
  <c r="D175" i="2"/>
  <c r="D34" i="2" s="1"/>
  <c r="E157" i="2"/>
  <c r="E34" i="2" s="1"/>
  <c r="G157" i="2"/>
  <c r="G121" i="2"/>
  <c r="D42" i="1"/>
  <c r="AJ15" i="3"/>
  <c r="E309" i="2"/>
  <c r="F309" i="2"/>
  <c r="G309" i="2"/>
  <c r="H309" i="2"/>
  <c r="D309" i="2"/>
  <c r="H281" i="2"/>
  <c r="H276" i="2"/>
  <c r="H275" i="2" s="1"/>
  <c r="H257" i="2" s="1"/>
  <c r="H251" i="2" s="1"/>
  <c r="F281" i="2"/>
  <c r="D276" i="2"/>
  <c r="D275" i="2"/>
  <c r="D257" i="2" s="1"/>
  <c r="D251" i="2" s="1"/>
  <c r="F263" i="2"/>
  <c r="F253" i="2"/>
  <c r="F252" i="2"/>
  <c r="F157" i="2"/>
  <c r="F143" i="2" s="1"/>
  <c r="F142" i="2" s="1"/>
  <c r="F112" i="2" s="1"/>
  <c r="E121" i="2"/>
  <c r="E114" i="2"/>
  <c r="E113" i="2" s="1"/>
  <c r="D87" i="2"/>
  <c r="H20" i="1"/>
  <c r="K115" i="1"/>
  <c r="J115" i="2"/>
  <c r="J38" i="2"/>
  <c r="I114" i="1"/>
  <c r="I113" i="1"/>
  <c r="I112" i="1"/>
  <c r="I110" i="1"/>
  <c r="I296" i="1" s="1"/>
  <c r="J173" i="1"/>
  <c r="H197" i="1"/>
  <c r="K198" i="1"/>
  <c r="K47" i="1" s="1"/>
  <c r="G247" i="1"/>
  <c r="G246" i="1"/>
  <c r="G245" i="1"/>
  <c r="G239" i="1"/>
  <c r="J58" i="1"/>
  <c r="J57" i="1"/>
  <c r="J47" i="1"/>
  <c r="I89" i="2"/>
  <c r="I87" i="2" s="1"/>
  <c r="I145" i="2"/>
  <c r="I41" i="2"/>
  <c r="I204" i="2"/>
  <c r="I50" i="2" s="1"/>
  <c r="I192" i="2"/>
  <c r="I263" i="2"/>
  <c r="I35" i="2" s="1"/>
  <c r="J316" i="2"/>
  <c r="H230" i="2"/>
  <c r="H247" i="1"/>
  <c r="H246" i="1" s="1"/>
  <c r="H245" i="1" s="1"/>
  <c r="H239" i="1" s="1"/>
  <c r="J263" i="1"/>
  <c r="I275" i="2" s="1"/>
  <c r="G58" i="1"/>
  <c r="J56" i="1"/>
  <c r="J20" i="1" s="1"/>
  <c r="J29" i="1"/>
  <c r="K543" i="1"/>
  <c r="F61" i="2"/>
  <c r="F60" i="2"/>
  <c r="J114" i="1"/>
  <c r="I114" i="2" s="1"/>
  <c r="J55" i="1"/>
  <c r="J34" i="1"/>
  <c r="J33" i="1"/>
  <c r="F230" i="2"/>
  <c r="J29" i="2"/>
  <c r="C591" i="2"/>
  <c r="E591" i="2"/>
  <c r="F197" i="2"/>
  <c r="K34" i="1"/>
  <c r="K33" i="1" s="1"/>
  <c r="D143" i="2"/>
  <c r="D142" i="2"/>
  <c r="D112" i="2" s="1"/>
  <c r="K173" i="1"/>
  <c r="J192" i="2"/>
  <c r="AK24" i="3"/>
  <c r="AK22" i="3" s="1"/>
  <c r="AK21" i="3" s="1"/>
  <c r="H22" i="3"/>
  <c r="H21" i="3"/>
  <c r="AG24" i="3"/>
  <c r="AG22" i="3" s="1"/>
  <c r="E38" i="2"/>
  <c r="O12" i="3"/>
  <c r="O11" i="3"/>
  <c r="O21" i="3"/>
  <c r="S21" i="3"/>
  <c r="R21" i="3"/>
  <c r="AC12" i="3"/>
  <c r="AC11" i="3"/>
  <c r="E197" i="2"/>
  <c r="F276" i="2"/>
  <c r="F275" i="2"/>
  <c r="K38" i="3"/>
  <c r="K21" i="3"/>
  <c r="I38" i="3"/>
  <c r="I21" i="3" s="1"/>
  <c r="AG65" i="3"/>
  <c r="X38" i="3"/>
  <c r="X21" i="3" s="1"/>
  <c r="D44" i="2"/>
  <c r="D42" i="2" s="1"/>
  <c r="F255" i="2"/>
  <c r="F58" i="2"/>
  <c r="E143" i="2"/>
  <c r="E142" i="2" s="1"/>
  <c r="G143" i="2"/>
  <c r="G142" i="2"/>
  <c r="H42" i="2"/>
  <c r="H197" i="2"/>
  <c r="J189" i="2"/>
  <c r="G212" i="2"/>
  <c r="G211" i="2"/>
  <c r="G53" i="2" s="1"/>
  <c r="G46" i="2" s="1"/>
  <c r="G19" i="2" s="1"/>
  <c r="G18" i="2" s="1"/>
  <c r="G207" i="1"/>
  <c r="J113" i="1"/>
  <c r="J172" i="1"/>
  <c r="I172" i="2"/>
  <c r="I173" i="2"/>
  <c r="H114" i="2"/>
  <c r="H113" i="2"/>
  <c r="H112" i="2"/>
  <c r="D35" i="2"/>
  <c r="D20" i="2"/>
  <c r="K100" i="1"/>
  <c r="H35" i="2"/>
  <c r="H20" i="2" s="1"/>
  <c r="H258" i="2"/>
  <c r="G12" i="3"/>
  <c r="G11" i="3"/>
  <c r="AK38" i="3"/>
  <c r="E349" i="2"/>
  <c r="E330" i="1"/>
  <c r="E316" i="1" s="1"/>
  <c r="E12" i="3"/>
  <c r="E11" i="3"/>
  <c r="AI38" i="3"/>
  <c r="F507" i="2"/>
  <c r="F467" i="1"/>
  <c r="F503" i="2"/>
  <c r="F511" i="2"/>
  <c r="J198" i="2"/>
  <c r="D174" i="2"/>
  <c r="D172" i="2"/>
  <c r="G276" i="2"/>
  <c r="G275" i="2"/>
  <c r="G35" i="2"/>
  <c r="G20" i="2"/>
  <c r="K114" i="1"/>
  <c r="J114" i="2" s="1"/>
  <c r="J121" i="2"/>
  <c r="J34" i="2" s="1"/>
  <c r="F357" i="2"/>
  <c r="F343" i="1"/>
  <c r="F342" i="1" s="1"/>
  <c r="G34" i="2"/>
  <c r="G114" i="2"/>
  <c r="G113" i="2"/>
  <c r="G112" i="2"/>
  <c r="F114" i="2"/>
  <c r="F113" i="2" s="1"/>
  <c r="D206" i="1"/>
  <c r="D51" i="1" s="1"/>
  <c r="D46" i="1" s="1"/>
  <c r="D19" i="1" s="1"/>
  <c r="D18" i="1" s="1"/>
  <c r="AG56" i="3"/>
  <c r="AG55" i="3"/>
  <c r="F259" i="2"/>
  <c r="F258" i="2"/>
  <c r="F257" i="2" s="1"/>
  <c r="F251" i="2" s="1"/>
  <c r="F35" i="2"/>
  <c r="F20" i="2"/>
  <c r="D22" i="3"/>
  <c r="D21" i="3" s="1"/>
  <c r="AH24" i="3"/>
  <c r="J143" i="2"/>
  <c r="K142" i="1"/>
  <c r="J142" i="2" s="1"/>
  <c r="D343" i="2"/>
  <c r="D329" i="2" s="1"/>
  <c r="D316" i="1"/>
  <c r="G343" i="1"/>
  <c r="G342" i="1" s="1"/>
  <c r="G357" i="2"/>
  <c r="H343" i="1"/>
  <c r="H357" i="2"/>
  <c r="D473" i="1"/>
  <c r="D507" i="2" s="1"/>
  <c r="D512" i="2"/>
  <c r="J512" i="2"/>
  <c r="T21" i="3"/>
  <c r="E342" i="1"/>
  <c r="C592" i="2"/>
  <c r="K172" i="1"/>
  <c r="J172" i="2" s="1"/>
  <c r="J173" i="2"/>
  <c r="I12" i="3"/>
  <c r="I11" i="3" s="1"/>
  <c r="K12" i="3"/>
  <c r="K11" i="3"/>
  <c r="AJ38" i="3"/>
  <c r="E355" i="2"/>
  <c r="D511" i="2"/>
  <c r="G33" i="2"/>
  <c r="K113" i="1"/>
  <c r="J113" i="2" s="1"/>
  <c r="E343" i="2"/>
  <c r="E329" i="2" s="1"/>
  <c r="F356" i="2"/>
  <c r="K87" i="1"/>
  <c r="J100" i="2"/>
  <c r="J87" i="2"/>
  <c r="G206" i="1"/>
  <c r="AJ56" i="3"/>
  <c r="AJ55" i="3"/>
  <c r="H356" i="2"/>
  <c r="H342" i="1"/>
  <c r="I113" i="2"/>
  <c r="J112" i="1"/>
  <c r="I112" i="2"/>
  <c r="AJ21" i="3"/>
  <c r="AJ12" i="3"/>
  <c r="AJ11" i="3" s="1"/>
  <c r="H355" i="2"/>
  <c r="G51" i="1"/>
  <c r="G46" i="1"/>
  <c r="M46" i="1" s="1"/>
  <c r="M47" i="1" s="1"/>
  <c r="G196" i="1"/>
  <c r="G110" i="1" s="1"/>
  <c r="G296" i="1" s="1"/>
  <c r="O296" i="1" s="1"/>
  <c r="K207" i="1"/>
  <c r="K206" i="1" s="1"/>
  <c r="AG21" i="3" l="1"/>
  <c r="I33" i="2"/>
  <c r="I20" i="2"/>
  <c r="F340" i="1"/>
  <c r="M308" i="1" s="1"/>
  <c r="F355" i="2"/>
  <c r="F353" i="2" s="1"/>
  <c r="M18" i="2" s="1"/>
  <c r="G355" i="2"/>
  <c r="D19" i="2"/>
  <c r="D18" i="2" s="1"/>
  <c r="D33" i="2"/>
  <c r="X12" i="3"/>
  <c r="X11" i="3" s="1"/>
  <c r="K112" i="1"/>
  <c r="J112" i="2" s="1"/>
  <c r="G196" i="2"/>
  <c r="D196" i="1"/>
  <c r="D110" i="1" s="1"/>
  <c r="G356" i="2"/>
  <c r="D467" i="1"/>
  <c r="AH38" i="3"/>
  <c r="K197" i="1"/>
  <c r="J197" i="2" s="1"/>
  <c r="J20" i="2"/>
  <c r="G343" i="2"/>
  <c r="G329" i="2" s="1"/>
  <c r="G316" i="1"/>
  <c r="I15" i="5"/>
  <c r="J72" i="2"/>
  <c r="J70" i="2" s="1"/>
  <c r="K68" i="1"/>
  <c r="F34" i="2"/>
  <c r="H174" i="2"/>
  <c r="H172" i="2" s="1"/>
  <c r="H34" i="2"/>
  <c r="E259" i="2"/>
  <c r="E258" i="2" s="1"/>
  <c r="E257" i="2" s="1"/>
  <c r="E251" i="2" s="1"/>
  <c r="E35" i="2"/>
  <c r="H343" i="2"/>
  <c r="H329" i="2" s="1"/>
  <c r="H316" i="1"/>
  <c r="G257" i="2"/>
  <c r="G251" i="2" s="1"/>
  <c r="I22" i="5"/>
  <c r="D23" i="5" s="1"/>
  <c r="I23" i="5" s="1"/>
  <c r="D62" i="5"/>
  <c r="D23" i="4" s="1"/>
  <c r="D31" i="4" s="1"/>
  <c r="D47" i="4" s="1"/>
  <c r="D208" i="2"/>
  <c r="D196" i="2"/>
  <c r="D110" i="2" s="1"/>
  <c r="D308" i="2" s="1"/>
  <c r="K263" i="1"/>
  <c r="J275" i="2" s="1"/>
  <c r="J276" i="2"/>
  <c r="J259" i="2"/>
  <c r="K246" i="1"/>
  <c r="D16" i="4"/>
  <c r="AI24" i="3"/>
  <c r="AI22" i="3" s="1"/>
  <c r="AI21" i="3" s="1"/>
  <c r="K240" i="1"/>
  <c r="D356" i="2"/>
  <c r="D61" i="5"/>
  <c r="D22" i="4" s="1"/>
  <c r="D30" i="4" s="1"/>
  <c r="D46" i="4" s="1"/>
  <c r="AG38" i="3"/>
  <c r="AG12" i="3" s="1"/>
  <c r="AG11" i="3" s="1"/>
  <c r="D20" i="1"/>
  <c r="K22" i="1"/>
  <c r="F386" i="2"/>
  <c r="E473" i="1"/>
  <c r="H532" i="2"/>
  <c r="H491" i="1"/>
  <c r="G532" i="2"/>
  <c r="G491" i="1"/>
  <c r="G531" i="2" s="1"/>
  <c r="E437" i="1"/>
  <c r="E436" i="1" s="1"/>
  <c r="E426" i="1" s="1"/>
  <c r="I58" i="5"/>
  <c r="I19" i="4" s="1"/>
  <c r="I27" i="4" s="1"/>
  <c r="I43" i="4" s="1"/>
  <c r="E417" i="2"/>
  <c r="E402" i="1"/>
  <c r="G241" i="2"/>
  <c r="H200" i="2"/>
  <c r="H47" i="2" s="1"/>
  <c r="F84" i="1"/>
  <c r="I22" i="2"/>
  <c r="H244" i="2"/>
  <c r="F241" i="2"/>
  <c r="D200" i="2"/>
  <c r="D47" i="2" s="1"/>
  <c r="D46" i="2" s="1"/>
  <c r="F20" i="1"/>
  <c r="F244" i="2"/>
  <c r="H241" i="2"/>
  <c r="E42" i="2"/>
  <c r="K281" i="1"/>
  <c r="K291" i="1"/>
  <c r="F143" i="1"/>
  <c r="F142" i="1" s="1"/>
  <c r="F112" i="1" s="1"/>
  <c r="J247" i="1"/>
  <c r="I247" i="1"/>
  <c r="I246" i="1" s="1"/>
  <c r="I245" i="1" s="1"/>
  <c r="I239" i="1" s="1"/>
  <c r="F247" i="1"/>
  <c r="F246" i="1" s="1"/>
  <c r="F245" i="1" s="1"/>
  <c r="F239" i="1" s="1"/>
  <c r="F29" i="1"/>
  <c r="H220" i="1"/>
  <c r="J43" i="2"/>
  <c r="J42" i="2" s="1"/>
  <c r="G41" i="1"/>
  <c r="G19" i="1" s="1"/>
  <c r="G18" i="1" s="1"/>
  <c r="F220" i="1"/>
  <c r="E23" i="2"/>
  <c r="E22" i="2" s="1"/>
  <c r="E112" i="1"/>
  <c r="J23" i="2"/>
  <c r="J22" i="2" s="1"/>
  <c r="E112" i="2"/>
  <c r="AH23" i="3"/>
  <c r="AH22" i="3"/>
  <c r="AH21" i="3" s="1"/>
  <c r="J214" i="2"/>
  <c r="J213" i="2" s="1"/>
  <c r="J46" i="2"/>
  <c r="E207" i="1"/>
  <c r="E212" i="2"/>
  <c r="E211" i="2" s="1"/>
  <c r="E196" i="2" s="1"/>
  <c r="I212" i="2"/>
  <c r="I211" i="2" s="1"/>
  <c r="I53" i="2" s="1"/>
  <c r="I46" i="2" s="1"/>
  <c r="I19" i="2" s="1"/>
  <c r="I18" i="2" s="1"/>
  <c r="J207" i="1"/>
  <c r="J206" i="1" s="1"/>
  <c r="K196" i="1"/>
  <c r="K51" i="1"/>
  <c r="K46" i="1" s="1"/>
  <c r="E53" i="2"/>
  <c r="E46" i="2" s="1"/>
  <c r="E19" i="2" s="1"/>
  <c r="D340" i="1" l="1"/>
  <c r="D503" i="2"/>
  <c r="E110" i="2"/>
  <c r="E308" i="2" s="1"/>
  <c r="J293" i="2"/>
  <c r="J45" i="2" s="1"/>
  <c r="K45" i="1"/>
  <c r="E415" i="2"/>
  <c r="E353" i="2" s="1"/>
  <c r="L18" i="2" s="1"/>
  <c r="E511" i="2"/>
  <c r="E467" i="1"/>
  <c r="E503" i="2" s="1"/>
  <c r="E507" i="2"/>
  <c r="J252" i="2"/>
  <c r="J258" i="2"/>
  <c r="K245" i="1"/>
  <c r="J257" i="2" s="1"/>
  <c r="G473" i="1"/>
  <c r="D63" i="5"/>
  <c r="D24" i="4" s="1"/>
  <c r="H33" i="2"/>
  <c r="H207" i="1"/>
  <c r="H212" i="2"/>
  <c r="H211" i="2" s="1"/>
  <c r="I259" i="2"/>
  <c r="J246" i="1"/>
  <c r="F84" i="2"/>
  <c r="F70" i="2" s="1"/>
  <c r="F68" i="1"/>
  <c r="E33" i="2"/>
  <c r="E20" i="2"/>
  <c r="E18" i="2" s="1"/>
  <c r="F33" i="2"/>
  <c r="I63" i="5"/>
  <c r="I24" i="4" s="1"/>
  <c r="L72" i="1"/>
  <c r="D296" i="1"/>
  <c r="M296" i="1" s="1"/>
  <c r="K57" i="1"/>
  <c r="J303" i="2"/>
  <c r="J59" i="2" s="1"/>
  <c r="D32" i="4"/>
  <c r="D48" i="4" s="1"/>
  <c r="I16" i="4"/>
  <c r="I32" i="4" s="1"/>
  <c r="I48" i="4" s="1"/>
  <c r="K19" i="1"/>
  <c r="K18" i="1" s="1"/>
  <c r="F207" i="1"/>
  <c r="F212" i="2"/>
  <c r="F211" i="2" s="1"/>
  <c r="H531" i="2"/>
  <c r="H473" i="1"/>
  <c r="I62" i="5"/>
  <c r="I23" i="4" s="1"/>
  <c r="I31" i="4" s="1"/>
  <c r="I47" i="4" s="1"/>
  <c r="G110" i="2"/>
  <c r="G308" i="2" s="1"/>
  <c r="J19" i="2"/>
  <c r="J18" i="2" s="1"/>
  <c r="AH56" i="3"/>
  <c r="E206" i="1"/>
  <c r="J51" i="1"/>
  <c r="J46" i="1" s="1"/>
  <c r="J19" i="1" s="1"/>
  <c r="J18" i="1" s="1"/>
  <c r="J196" i="1"/>
  <c r="J196" i="2"/>
  <c r="L19" i="2" l="1"/>
  <c r="L21" i="2"/>
  <c r="J503" i="2"/>
  <c r="D353" i="2"/>
  <c r="K18" i="2" s="1"/>
  <c r="F53" i="2"/>
  <c r="F46" i="2" s="1"/>
  <c r="F19" i="2" s="1"/>
  <c r="F18" i="2" s="1"/>
  <c r="F196" i="2"/>
  <c r="F110" i="2" s="1"/>
  <c r="F308" i="2" s="1"/>
  <c r="F206" i="1"/>
  <c r="AI56" i="3"/>
  <c r="K239" i="1"/>
  <c r="H53" i="2"/>
  <c r="H46" i="2" s="1"/>
  <c r="H19" i="2" s="1"/>
  <c r="H18" i="2" s="1"/>
  <c r="H196" i="2"/>
  <c r="H110" i="2" s="1"/>
  <c r="H308" i="2" s="1"/>
  <c r="G511" i="2"/>
  <c r="G507" i="2"/>
  <c r="G467" i="1"/>
  <c r="E340" i="1"/>
  <c r="L308" i="1" s="1"/>
  <c r="AK56" i="3"/>
  <c r="H206" i="1"/>
  <c r="H467" i="1"/>
  <c r="H507" i="2"/>
  <c r="H511" i="2"/>
  <c r="J245" i="1"/>
  <c r="I258" i="2"/>
  <c r="E51" i="1"/>
  <c r="E46" i="1" s="1"/>
  <c r="E19" i="1" s="1"/>
  <c r="E18" i="1" s="1"/>
  <c r="E196" i="1"/>
  <c r="E110" i="1" s="1"/>
  <c r="E296" i="1" s="1"/>
  <c r="AH12" i="3"/>
  <c r="AH11" i="3" s="1"/>
  <c r="AH55" i="3"/>
  <c r="I196" i="2"/>
  <c r="I257" i="2" l="1"/>
  <c r="J239" i="1"/>
  <c r="H51" i="1"/>
  <c r="H46" i="1" s="1"/>
  <c r="H196" i="1"/>
  <c r="H110" i="1" s="1"/>
  <c r="H296" i="1" s="1"/>
  <c r="P296" i="1" s="1"/>
  <c r="F51" i="1"/>
  <c r="F46" i="1" s="1"/>
  <c r="F196" i="1"/>
  <c r="F110" i="1" s="1"/>
  <c r="F296" i="1" s="1"/>
  <c r="N296" i="1" s="1"/>
  <c r="K21" i="2"/>
  <c r="K19" i="2"/>
  <c r="H503" i="2"/>
  <c r="H353" i="2" s="1"/>
  <c r="O18" i="2" s="1"/>
  <c r="O21" i="2" s="1"/>
  <c r="H340" i="1"/>
  <c r="O308" i="1" s="1"/>
  <c r="G503" i="2"/>
  <c r="G353" i="2" s="1"/>
  <c r="N18" i="2" s="1"/>
  <c r="G340" i="1"/>
  <c r="N308" i="1" s="1"/>
  <c r="AK55" i="3"/>
  <c r="AK12" i="3"/>
  <c r="AK11" i="3" s="1"/>
  <c r="J251" i="2"/>
  <c r="J110" i="2" s="1"/>
  <c r="J308" i="2" s="1"/>
  <c r="K110" i="1"/>
  <c r="AI12" i="3"/>
  <c r="AI11" i="3" s="1"/>
  <c r="AI55" i="3"/>
  <c r="M19" i="2"/>
  <c r="M21" i="2"/>
  <c r="L296" i="1"/>
  <c r="K296" i="1"/>
  <c r="I251" i="2" l="1"/>
  <c r="I110" i="2" s="1"/>
  <c r="I308" i="2" s="1"/>
  <c r="J110" i="1"/>
  <c r="L46" i="1"/>
  <c r="L47" i="1" s="1"/>
  <c r="F19" i="1"/>
  <c r="F18" i="1" s="1"/>
  <c r="N19" i="2"/>
  <c r="N21" i="2"/>
  <c r="O19" i="2"/>
  <c r="N46" i="1"/>
  <c r="N47" i="1" s="1"/>
  <c r="H19" i="1"/>
  <c r="H18" i="1" s="1"/>
</calcChain>
</file>

<file path=xl/sharedStrings.xml><?xml version="1.0" encoding="utf-8"?>
<sst xmlns="http://schemas.openxmlformats.org/spreadsheetml/2006/main" count="2426" uniqueCount="693">
  <si>
    <t>Część...............................................................</t>
  </si>
  <si>
    <t>(nr, nazwa)</t>
  </si>
  <si>
    <t>Dział...............................................................</t>
  </si>
  <si>
    <t>Rozdział...........................................................</t>
  </si>
  <si>
    <t>Nazwa funduszu...........................................................</t>
  </si>
  <si>
    <t>PLAN FINANSOWY FUNDUSZU CELOWEGO</t>
  </si>
  <si>
    <t>Część A</t>
  </si>
  <si>
    <t>Lp.</t>
  </si>
  <si>
    <t>Treść</t>
  </si>
  <si>
    <t>Przewidywane 
wykonanie 
w 2013 r.</t>
  </si>
  <si>
    <t>Projekt planu 
na 2015 r.</t>
  </si>
  <si>
    <t>Projekt planu 
na 2016 r.</t>
  </si>
  <si>
    <t>Projekt planu 
na 2017 r.</t>
  </si>
  <si>
    <t>Projekt
planu KASOWO
na 2012 rok</t>
  </si>
  <si>
    <t>w tysiącach złotych</t>
  </si>
  <si>
    <t>I.</t>
  </si>
  <si>
    <t>Zadania wynikające z ustawy tworzącej fundusz celowy</t>
  </si>
  <si>
    <t>- wydatki bieżące</t>
  </si>
  <si>
    <t>- wydatki inwestycyjne</t>
  </si>
  <si>
    <t>1.</t>
  </si>
  <si>
    <t>Realizacja działań wyrównujących różnice między regionami - art. 47 ust. 1 pkt 1</t>
  </si>
  <si>
    <t>1.1</t>
  </si>
  <si>
    <t>1.2</t>
  </si>
  <si>
    <t>2.</t>
  </si>
  <si>
    <t>Realizacja programów wspieranych ze środków pomocowych Unii Europejskiej - art. 47 ust. 1 pkt 2</t>
  </si>
  <si>
    <t>2.1</t>
  </si>
  <si>
    <t>dotacja</t>
  </si>
  <si>
    <t>3.</t>
  </si>
  <si>
    <t xml:space="preserve">Dofinansowanie do wynagrodzeń  pracowników niepełnosprawnych - art. 26a </t>
  </si>
  <si>
    <t>4.</t>
  </si>
  <si>
    <t>Zrekompensowanie gminom dochodów utraconych z tytułu zastosowania ustawowych zwolnień dla prowadzacych zakłady pracy chronionej lub
zakłady aktywności zawodowej z podatku od nieruchomości, rolnego,leśnego i od czynności cywilnoprawnych - art. 47 ust. 2</t>
  </si>
  <si>
    <t>5.</t>
  </si>
  <si>
    <t>Finansowanie w części lub całości  badań, ekspertyz i analiz -  art. 47 ust. 1 pkt 4 lit.b</t>
  </si>
  <si>
    <t>5.1</t>
  </si>
  <si>
    <t>5.2</t>
  </si>
  <si>
    <t>6.</t>
  </si>
  <si>
    <t>Refundacja kosztów wydawania certyfikatów przez podmioty uprawnione do szkolenia psów asystujących art. 20b</t>
  </si>
  <si>
    <t>7.</t>
  </si>
  <si>
    <t xml:space="preserve">Programy zatwierdzone przez Radę Nadzorczą, służące rehabilitacji społecznej i zawodowej - art. 47 ust. 1 pkt 4 lit.a </t>
  </si>
  <si>
    <t>7.1</t>
  </si>
  <si>
    <t>7.2</t>
  </si>
  <si>
    <t>8.</t>
  </si>
  <si>
    <t>Dofinansowanie oprocentowania kredytów bankowych - art. 32 ust. 1 pkt 1</t>
  </si>
  <si>
    <t>8.1</t>
  </si>
  <si>
    <t>9.</t>
  </si>
  <si>
    <t>Zwrot kosztów budowy lub rozbudowy obiektów i pomieszczeń zakładu, transportowych i administracyjnych
 - art. 32 ust. 1 pkt 2</t>
  </si>
  <si>
    <t>9.1</t>
  </si>
  <si>
    <t>9.2</t>
  </si>
  <si>
    <t>10.</t>
  </si>
  <si>
    <t>Refundacja składek na ubezpieczenia społeczne - art. 25a</t>
  </si>
  <si>
    <t>11.</t>
  </si>
  <si>
    <t>Zadania zlecane  - art. 36</t>
  </si>
  <si>
    <t>11.1</t>
  </si>
  <si>
    <t>11.2</t>
  </si>
  <si>
    <t>12.</t>
  </si>
  <si>
    <t>Przelewy redystrybucyjne wymienione w części B pkt III ppkt 6</t>
  </si>
  <si>
    <t>13.</t>
  </si>
  <si>
    <t>Wydatki bieżące (własne), z tego:</t>
  </si>
  <si>
    <t>13.1</t>
  </si>
  <si>
    <t>- wynagrodzenia</t>
  </si>
  <si>
    <t>13.2</t>
  </si>
  <si>
    <t>- składki na ubezpieczenia społeczne</t>
  </si>
  <si>
    <t>13.3</t>
  </si>
  <si>
    <t>- składki na Fundusz Pracy</t>
  </si>
  <si>
    <t>13.4</t>
  </si>
  <si>
    <t>- wynagrodzenia bezosobowe</t>
  </si>
  <si>
    <t>13.5</t>
  </si>
  <si>
    <t>- pozostałe, w tym:</t>
  </si>
  <si>
    <t>13.5.1</t>
  </si>
  <si>
    <t>- zakup usług remontowych</t>
  </si>
  <si>
    <t>13.5.2</t>
  </si>
  <si>
    <t>- amortyzacja majątku trwałego</t>
  </si>
  <si>
    <t>13.6</t>
  </si>
  <si>
    <t>- odpis aktualizujący wartość należności z tytułu wpłat na PFRON, pożyczek, odsetek od pożyczek oraz innych należności</t>
  </si>
  <si>
    <t>14.</t>
  </si>
  <si>
    <t>Wydatki osobowe nie zaliczane do wynagrodzeń</t>
  </si>
  <si>
    <t>15.</t>
  </si>
  <si>
    <t>Wydatki inwestycyjne (własne) i zakupy inwestycyjne (własne)</t>
  </si>
  <si>
    <t>16.</t>
  </si>
  <si>
    <t>Zwrot dotacji wykorzystanych niezgodnie z przeznaczeniem lub pobranych w nadmiernej wysokości</t>
  </si>
  <si>
    <t>17.</t>
  </si>
  <si>
    <t xml:space="preserve">Dofinansowanie kosztów szkolenia, o których mowa w art. 18 ustawy o języku migowym i innych środkach komunikowania się - 
art. 47 ust 1 pkt. 4 lit. c </t>
  </si>
  <si>
    <t>17.1</t>
  </si>
  <si>
    <t>17.2</t>
  </si>
  <si>
    <t>Część B</t>
  </si>
  <si>
    <t>Paragrafy</t>
  </si>
  <si>
    <t>Stan funduszu na początek roku</t>
  </si>
  <si>
    <t>x</t>
  </si>
  <si>
    <t>w tym:</t>
  </si>
  <si>
    <t>Środki pieniężne (z lokatami)</t>
  </si>
  <si>
    <t>Udziały i akcje</t>
  </si>
  <si>
    <t>Papiery wartościowe Skarbu Państwa</t>
  </si>
  <si>
    <t>Należności, w tym:</t>
  </si>
  <si>
    <t>4.1</t>
  </si>
  <si>
    <t>- należności z tytułu wpłat obowiązkowych</t>
  </si>
  <si>
    <t>4.2</t>
  </si>
  <si>
    <t>- należności z tytułu udzielonych pożyczek</t>
  </si>
  <si>
    <t>Zobowiązania (minus), z tego:</t>
  </si>
  <si>
    <t>pozostałe</t>
  </si>
  <si>
    <t>5.1.1</t>
  </si>
  <si>
    <t>5.1.2</t>
  </si>
  <si>
    <t>w tym: wymagalne</t>
  </si>
  <si>
    <t>Wartości niematerialne i prawne</t>
  </si>
  <si>
    <t>Rzeczowe aktywa trwałe</t>
  </si>
  <si>
    <t>Rozliczenia międzyokresowe kosztów</t>
  </si>
  <si>
    <t>Rozliczenia międzyokresowe przychodów</t>
  </si>
  <si>
    <t>Rezerwy (minus)</t>
  </si>
  <si>
    <t>Fundusze specjalne (ZFŚS) (minus)</t>
  </si>
  <si>
    <t>II.</t>
  </si>
  <si>
    <t>Przychody</t>
  </si>
  <si>
    <t>Dotacje z budżetu państwa</t>
  </si>
  <si>
    <t>2007, 2430</t>
  </si>
  <si>
    <t xml:space="preserve">    - dotacja celowa na realizację programów finansowanych z udziałem środków UE</t>
  </si>
  <si>
    <t>2007</t>
  </si>
  <si>
    <r>
      <t xml:space="preserve">   - zrekompensowanie gminom dochodów utraconych z tytułu zastosowania ustawowych zwolnień dla prowadzacych
     zakłady pracy chronionej lub zakłady aktywności zawodowej z podatku od nieruchomości, rolnego,leśnego
     i od czynności cywilnoprawnych - </t>
    </r>
    <r>
      <rPr>
        <b/>
        <sz val="11"/>
        <rFont val="Times New Roman CE"/>
        <family val="1"/>
        <charset val="238"/>
      </rPr>
      <t>art. 47 ust. 2</t>
    </r>
  </si>
  <si>
    <t>2430</t>
  </si>
  <si>
    <t xml:space="preserve">    - dofinansowanie do wynagrodzeń pracowników niepełnosprawnych</t>
  </si>
  <si>
    <t>Środki otrzymane z Unii Europejskiej</t>
  </si>
  <si>
    <t>Składki i opłaty (wpłaty zakładów pracy)</t>
  </si>
  <si>
    <t xml:space="preserve"> 0850</t>
  </si>
  <si>
    <t>Przelewy redystrybucyjne (zwroty przez samorządy wojewódzkie i powiatowe środków niewykorzystanych
w poprzednim roku)</t>
  </si>
  <si>
    <t>2960</t>
  </si>
  <si>
    <t>Pozostałe przychody (przypis)</t>
  </si>
  <si>
    <t>- dochody z najmu i dzierżawy składników majątkowych</t>
  </si>
  <si>
    <t>0750</t>
  </si>
  <si>
    <t>- wpływy ze sprzedaży składników majątkowych</t>
  </si>
  <si>
    <t>0870</t>
  </si>
  <si>
    <t>5.3</t>
  </si>
  <si>
    <t>- odsetki od nieterminowych wpłat zakładów pracy</t>
  </si>
  <si>
    <t>0910</t>
  </si>
  <si>
    <t>5.4</t>
  </si>
  <si>
    <t>- pozostałe odsetki</t>
  </si>
  <si>
    <t>0920</t>
  </si>
  <si>
    <t>5.5</t>
  </si>
  <si>
    <t>- otrzymane spadki, zapisy i darowizny w postaci pieniężnej</t>
  </si>
  <si>
    <t>0960</t>
  </si>
  <si>
    <t>5.6</t>
  </si>
  <si>
    <t>- wpływy z różnych tytułów</t>
  </si>
  <si>
    <t>0970</t>
  </si>
  <si>
    <t>5.7</t>
  </si>
  <si>
    <t>- wpływy ze zwrotów dotacji</t>
  </si>
  <si>
    <t>2910</t>
  </si>
  <si>
    <t>5.8</t>
  </si>
  <si>
    <t>- dywidendy i kwoty uzyskane ze zbycia praw majątkowych</t>
  </si>
  <si>
    <t>0740</t>
  </si>
  <si>
    <t>III.</t>
  </si>
  <si>
    <t>Wydatki</t>
  </si>
  <si>
    <t>Dotacje na realizację zadań bieżących</t>
  </si>
  <si>
    <t>Dotacje dla jednostek sektora finansów publicznych</t>
  </si>
  <si>
    <t>1.1.1</t>
  </si>
  <si>
    <t>- środki na zadania ustawowe (bez współfinansowania)</t>
  </si>
  <si>
    <t>2440</t>
  </si>
  <si>
    <t>1.1.2</t>
  </si>
  <si>
    <t>- środki na współfinansowanie programów i projektów realizowanych ze środków UE</t>
  </si>
  <si>
    <t>2449</t>
  </si>
  <si>
    <r>
      <t xml:space="preserve">-- realizacja programów wspieranych ze środków pomocowych UE </t>
    </r>
    <r>
      <rPr>
        <b/>
        <sz val="11"/>
        <rFont val="Times New Roman CE"/>
        <family val="1"/>
        <charset val="238"/>
      </rPr>
      <t>art. 47 ust. 1 pkt 2</t>
    </r>
  </si>
  <si>
    <r>
      <t xml:space="preserve">-- realizacja działań wyrównujących różnice między regionami </t>
    </r>
    <r>
      <rPr>
        <b/>
        <sz val="11"/>
        <rFont val="Times New Roman CE"/>
        <family val="1"/>
        <charset val="238"/>
      </rPr>
      <t>art. 47 ust. 1 pkt 1</t>
    </r>
  </si>
  <si>
    <r>
      <t xml:space="preserve">-- zrekompensowanie gminom dochodów utraconych z tytułu zastosowania ustawowych zwolnień 
dla prowadzacych zpch lub zaz z podatku rolnego,leśnego od nieruchomości i od czynności cywilnoprawnych
 - </t>
    </r>
    <r>
      <rPr>
        <b/>
        <sz val="11"/>
        <rFont val="Times New Roman CE"/>
        <family val="1"/>
        <charset val="238"/>
      </rPr>
      <t>art. 47 ust. 2</t>
    </r>
  </si>
  <si>
    <r>
      <t xml:space="preserve">-- dofinansowanie badań, ekspertyz, analiz  </t>
    </r>
    <r>
      <rPr>
        <b/>
        <sz val="11"/>
        <rFont val="Times New Roman CE"/>
        <family val="1"/>
        <charset val="238"/>
      </rPr>
      <t>art. 47 ust. 1 pkt 4 lit.b</t>
    </r>
  </si>
  <si>
    <r>
      <t xml:space="preserve">-- zadania zlecane - </t>
    </r>
    <r>
      <rPr>
        <b/>
        <sz val="11"/>
        <rFont val="Times New Roman CE"/>
        <family val="1"/>
        <charset val="238"/>
      </rPr>
      <t>art.. 36</t>
    </r>
  </si>
  <si>
    <r>
      <t xml:space="preserve">-- programy zatwierdzone przez Radę Nadzorczą, służące rehabilitacji społecznej, zawodowej i leczniczej
</t>
    </r>
    <r>
      <rPr>
        <b/>
        <sz val="11"/>
        <rFont val="Times New Roman CE"/>
        <family val="1"/>
        <charset val="238"/>
      </rPr>
      <t xml:space="preserve">art. 47 ust. 1 pkt 4 lit.a </t>
    </r>
  </si>
  <si>
    <t>Pitagoras 2007</t>
  </si>
  <si>
    <t>Junior</t>
  </si>
  <si>
    <t>Osoby Niepełnosprawne w słuźbie publicznej</t>
  </si>
  <si>
    <t>Homer 2003</t>
  </si>
  <si>
    <t>Komputer dla Homera 2010</t>
  </si>
  <si>
    <t>Pegaz 2003</t>
  </si>
  <si>
    <t>Pegaz 2010</t>
  </si>
  <si>
    <t>Program Ograniczania Skutków Niepełnosprawności</t>
  </si>
  <si>
    <t>Ośrodki Informacji dla Osób Niepełnosprawnych</t>
  </si>
  <si>
    <t>Partner</t>
  </si>
  <si>
    <t>Sprawny Dojazd</t>
  </si>
  <si>
    <t>Trener Pracy</t>
  </si>
  <si>
    <t>Student II</t>
  </si>
  <si>
    <t>Edukacja</t>
  </si>
  <si>
    <t>Uczeń Na Wsi</t>
  </si>
  <si>
    <t>Wsparcie Inicjatyw</t>
  </si>
  <si>
    <t>Aktywny Samorząd</t>
  </si>
  <si>
    <t>Wczesna Pomoc Dziecku Niepełnosprawnemu</t>
  </si>
  <si>
    <t>Inne programy</t>
  </si>
  <si>
    <t>Dotacje dla jednostek niezaliczanych do sektora finansów publicznych</t>
  </si>
  <si>
    <t>1.2.1</t>
  </si>
  <si>
    <t>2450</t>
  </si>
  <si>
    <t>1.2.2</t>
  </si>
  <si>
    <t>2459</t>
  </si>
  <si>
    <r>
      <t xml:space="preserve">-- refundacja składek na ubezpieczenia społeczne </t>
    </r>
    <r>
      <rPr>
        <b/>
        <sz val="11"/>
        <rFont val="Times New Roman CE"/>
        <family val="1"/>
        <charset val="238"/>
      </rPr>
      <t>(art. 25a)</t>
    </r>
  </si>
  <si>
    <t>refundacja dla pracodawców składek ZUS art. 25a</t>
  </si>
  <si>
    <t>refundacja składek ZUS - ONG art. 25a</t>
  </si>
  <si>
    <t>refundacja składek ZUS - RNP art. 25a</t>
  </si>
  <si>
    <r>
      <t xml:space="preserve">   --- dofinansowanie oprocentowania kredytów bankowych - </t>
    </r>
    <r>
      <rPr>
        <b/>
        <sz val="11"/>
        <rFont val="Times New Roman CE"/>
        <family val="1"/>
        <charset val="238"/>
      </rPr>
      <t>art. 32 ust. 1 pkt 1,</t>
    </r>
    <r>
      <rPr>
        <sz val="11"/>
        <rFont val="Times New Roman CE"/>
        <family val="1"/>
        <charset val="238"/>
      </rPr>
      <t xml:space="preserve"> </t>
    </r>
  </si>
  <si>
    <r>
      <t xml:space="preserve">   --- zwrot kosztów budowy lub rozbudowy obiektów i pomieszczeń zakładu, transportowych i administracyjnych
       -</t>
    </r>
    <r>
      <rPr>
        <b/>
        <sz val="11"/>
        <rFont val="Times New Roman CE"/>
        <family val="1"/>
        <charset val="238"/>
      </rPr>
      <t xml:space="preserve"> art. 32 ust. 1 pkt 2</t>
    </r>
  </si>
  <si>
    <r>
      <t xml:space="preserve">-- dofinansowanie do wynagrodzeń  pracowników niepełnosprawnych </t>
    </r>
    <r>
      <rPr>
        <b/>
        <sz val="11"/>
        <rFont val="Times New Roman CE"/>
        <family val="1"/>
        <charset val="238"/>
      </rPr>
      <t xml:space="preserve">art. 26a </t>
    </r>
  </si>
  <si>
    <t>-- refundacja kosztów wydawania certyfikatów przez podmioty uprawnione do szkolenia psów asystujących art. 20b</t>
  </si>
  <si>
    <r>
      <t xml:space="preserve">-- zadania zlecane </t>
    </r>
    <r>
      <rPr>
        <b/>
        <sz val="11"/>
        <rFont val="Times New Roman CE"/>
        <family val="1"/>
        <charset val="238"/>
      </rPr>
      <t>art. 36</t>
    </r>
  </si>
  <si>
    <r>
      <t xml:space="preserve">-- programy zatwierdzone przez Radę Nadzorczą, służące rehabilitacji społecznej, zawodowej i leczniczej
</t>
    </r>
    <r>
      <rPr>
        <b/>
        <sz val="11"/>
        <rFont val="Times New Roman CE"/>
        <family val="1"/>
        <charset val="238"/>
      </rPr>
      <t>art. 47 ust. 1 pkt 4 lit.a</t>
    </r>
  </si>
  <si>
    <t>Telepraca</t>
  </si>
  <si>
    <t>Program Wsparcia Międzynarodowych Imprez Sportowych dla Osób Niepełnosprawnych organizowanych na terenie Polski</t>
  </si>
  <si>
    <t>Wsparcie dla Biblioteki Centralnej PZN</t>
  </si>
  <si>
    <t xml:space="preserve">Inne programy </t>
  </si>
  <si>
    <t>-- umorzenia pożyczek</t>
  </si>
  <si>
    <t>Transfery na rzecz ludności</t>
  </si>
  <si>
    <t>- różne wydatki na rzecz osób fizycznych (bez współfinansowania)</t>
  </si>
  <si>
    <t>3030</t>
  </si>
  <si>
    <r>
      <t xml:space="preserve">   --- Dofinansowanie kosztów szkolenia, o których mowa w art. 18 ustawy o języku migowym i innych środkach komunikowania się - 
        </t>
    </r>
    <r>
      <rPr>
        <b/>
        <sz val="11"/>
        <rFont val="Times New Roman CE"/>
        <family val="1"/>
        <charset val="238"/>
      </rPr>
      <t>art. 47 ust 1 pkt. 4 lit. C</t>
    </r>
  </si>
  <si>
    <t>Student</t>
  </si>
  <si>
    <t>Uczeń na wsi</t>
  </si>
  <si>
    <t>SPORT</t>
  </si>
  <si>
    <r>
      <t xml:space="preserve">-- umorzenia pożyczek </t>
    </r>
    <r>
      <rPr>
        <b/>
        <sz val="11"/>
        <rFont val="Times New Roman CE"/>
        <family val="1"/>
        <charset val="238"/>
      </rPr>
      <t>art. 47 ust. 1 pkt 4 lit.a</t>
    </r>
  </si>
  <si>
    <t>2.2</t>
  </si>
  <si>
    <t>- wydatki osobowe nie zaliczone do wynagrodzeń</t>
  </si>
  <si>
    <t>3020</t>
  </si>
  <si>
    <t>-- wydatki osobowe nie zaliczone do wynagrodzeń (środki bez współfinansowania)</t>
  </si>
  <si>
    <t>Środki z Unii Europejskiej</t>
  </si>
  <si>
    <t>- dla jednostek sektora finansów publicznych</t>
  </si>
  <si>
    <t>2447</t>
  </si>
  <si>
    <t>- dla jednostek niezaliczanych do sektora finansów publicznych</t>
  </si>
  <si>
    <t>2457</t>
  </si>
  <si>
    <t>Wydatki bieżące (własne)</t>
  </si>
  <si>
    <t>Wynagrodzenia, z tego:</t>
  </si>
  <si>
    <t>4.1.1</t>
  </si>
  <si>
    <t>Wynagrodzenia osobowe</t>
  </si>
  <si>
    <t>4010</t>
  </si>
  <si>
    <t>4.1.2</t>
  </si>
  <si>
    <t>Wynagrodzenia bezosobowe</t>
  </si>
  <si>
    <t>4170</t>
  </si>
  <si>
    <t>4.3</t>
  </si>
  <si>
    <t>Składki na ubezpieczenia społeczne</t>
  </si>
  <si>
    <t>4110</t>
  </si>
  <si>
    <t>4.4</t>
  </si>
  <si>
    <t>Składki na Fundusz Pracy</t>
  </si>
  <si>
    <t>4120</t>
  </si>
  <si>
    <t>4.5</t>
  </si>
  <si>
    <t>Pozostałe</t>
  </si>
  <si>
    <t>4.5.1</t>
  </si>
  <si>
    <t xml:space="preserve">  - zakup usług</t>
  </si>
  <si>
    <t>4210-4400</t>
  </si>
  <si>
    <t>- zakup materiałów i wyposażenia</t>
  </si>
  <si>
    <t>4210</t>
  </si>
  <si>
    <t>- zakup energii</t>
  </si>
  <si>
    <t>4260</t>
  </si>
  <si>
    <t>4270</t>
  </si>
  <si>
    <t>- zakup usług zdrowotnych</t>
  </si>
  <si>
    <t>4280</t>
  </si>
  <si>
    <t>- pozostałe usługi obce</t>
  </si>
  <si>
    <t>4300</t>
  </si>
  <si>
    <t>- zakup usług dostępu do sieci Internet</t>
  </si>
  <si>
    <t>4350</t>
  </si>
  <si>
    <t>- usługi telekomunikacyjne - telefonia komórkowa</t>
  </si>
  <si>
    <t>4360</t>
  </si>
  <si>
    <t>- usługi telekomunikacyjne - telefonia stacjonarna</t>
  </si>
  <si>
    <t>4370</t>
  </si>
  <si>
    <t>- zakup usług obejmujących tłumaczenia</t>
  </si>
  <si>
    <t>4380</t>
  </si>
  <si>
    <t>- czynsze za pomieszczenia biurowe</t>
  </si>
  <si>
    <t>4400</t>
  </si>
  <si>
    <t>4.5.2</t>
  </si>
  <si>
    <t xml:space="preserve">  - pozostałe koszty</t>
  </si>
  <si>
    <t xml:space="preserve">  --- pozostałe koszty i opłaty</t>
  </si>
  <si>
    <t>4410-4610</t>
  </si>
  <si>
    <t>--- podróże służbowe krajowe</t>
  </si>
  <si>
    <t>4410</t>
  </si>
  <si>
    <t>--- podróże służbowe zagraniczne</t>
  </si>
  <si>
    <t>4420</t>
  </si>
  <si>
    <t>- różne opłaty i składki</t>
  </si>
  <si>
    <t>4430</t>
  </si>
  <si>
    <t>- odpisy na zakładowy fundusz świadczeń socjalnych</t>
  </si>
  <si>
    <t>4440</t>
  </si>
  <si>
    <t>- podatek od nieruchomości</t>
  </si>
  <si>
    <t>4480</t>
  </si>
  <si>
    <t>- pozostałe podatki na rzecz budżetu państwa</t>
  </si>
  <si>
    <t>4490</t>
  </si>
  <si>
    <t>- pozostałe podatki na rzecz budżetów jednostek samorządowych</t>
  </si>
  <si>
    <t>4500</t>
  </si>
  <si>
    <t>- opłaty na rzecz budżetu państwa (opłata z tytułu wieczystego użytkowania gruntu)</t>
  </si>
  <si>
    <t>4510</t>
  </si>
  <si>
    <t>- odsetki od nieterminowych wpłat z tytułu podatków i opłat</t>
  </si>
  <si>
    <t>4570</t>
  </si>
  <si>
    <t>4580</t>
  </si>
  <si>
    <t>- kary i odzszkodowania wypłacone na rzecz osób fizycznych</t>
  </si>
  <si>
    <t>4590</t>
  </si>
  <si>
    <t>- kary i odzszkodowania wypłacone na rzecz osób prawnych i innych jednosek</t>
  </si>
  <si>
    <t>4600</t>
  </si>
  <si>
    <t>- koszty postępowania sądowego i prokuratorskiego</t>
  </si>
  <si>
    <t>4610</t>
  </si>
  <si>
    <t>4720</t>
  </si>
  <si>
    <t>4.6</t>
  </si>
  <si>
    <t>Odpis aktualizujący wartość należności z tytułu wpłat na PFRON, pożyczek, odsetek od pożyczek oraz innych należności</t>
  </si>
  <si>
    <t>4810</t>
  </si>
  <si>
    <t>Wydatki inwestycyjne</t>
  </si>
  <si>
    <t>Wydatki inwestycyjne (własne) i wydatki na zakupy inwestycyjne (własne)</t>
  </si>
  <si>
    <t>6110, 6120</t>
  </si>
  <si>
    <t>- Wydatki inwestycyjna (własne)</t>
  </si>
  <si>
    <t>- Zakupy inwestycyjne (własne)</t>
  </si>
  <si>
    <t>-- środki na zadania ustawowe (bez współfinansowania)</t>
  </si>
  <si>
    <t>6120</t>
  </si>
  <si>
    <t>Dotacje inwestycyjne</t>
  </si>
  <si>
    <t>5.2.1</t>
  </si>
  <si>
    <t>-dla sektora finansów publicznych</t>
  </si>
  <si>
    <t>6260</t>
  </si>
  <si>
    <r>
      <t xml:space="preserve">--- realizacja działań wyrównujących różnice między regionami </t>
    </r>
    <r>
      <rPr>
        <b/>
        <sz val="11"/>
        <rFont val="Times New Roman CE"/>
        <family val="1"/>
        <charset val="238"/>
      </rPr>
      <t>art. 47 ust. 1 pkt 1</t>
    </r>
  </si>
  <si>
    <r>
      <t xml:space="preserve">--- zadania zlecane </t>
    </r>
    <r>
      <rPr>
        <b/>
        <sz val="11"/>
        <rFont val="Times New Roman CE"/>
        <family val="1"/>
        <charset val="238"/>
      </rPr>
      <t>art. 36</t>
    </r>
  </si>
  <si>
    <r>
      <t xml:space="preserve">--- dofinansowanie badań, ekspertyz, analiz </t>
    </r>
    <r>
      <rPr>
        <b/>
        <sz val="11"/>
        <rFont val="Times New Roman CE"/>
        <family val="1"/>
        <charset val="238"/>
      </rPr>
      <t>art. 47 ust. 1 pkt 4 lit.b</t>
    </r>
  </si>
  <si>
    <r>
      <t xml:space="preserve">--- programy zatwierdzone przez Radę Nadzorczą, służące rehabilitacji społecznej, zawodowej i leczniczej
</t>
    </r>
    <r>
      <rPr>
        <b/>
        <sz val="11"/>
        <rFont val="Times New Roman CE"/>
        <family val="1"/>
        <charset val="238"/>
      </rPr>
      <t>art. 47 ust. 1 pkt 4 lit.a</t>
    </r>
  </si>
  <si>
    <t>Pitagoras</t>
  </si>
  <si>
    <t>Osoby Niepełnosprawne w Słuzbie Publicznej</t>
  </si>
  <si>
    <t>5.2.2</t>
  </si>
  <si>
    <t>-dla jednostek niezaliczanych do sektora finansów publicznych</t>
  </si>
  <si>
    <t>6270</t>
  </si>
  <si>
    <r>
      <t xml:space="preserve">   ---  zwrot kosztów budowy lub rozbudowy obiektów i pomieszczeń zakładu, transportowych i administracyjnych
    - </t>
    </r>
    <r>
      <rPr>
        <b/>
        <sz val="11"/>
        <rFont val="Times New Roman CE"/>
        <family val="1"/>
        <charset val="238"/>
      </rPr>
      <t>art. 32 ust. 1 pkt 2</t>
    </r>
  </si>
  <si>
    <t>zwroty niewykorzyst</t>
  </si>
  <si>
    <t>Wsparcie Ośrodka Szkolno-Wychowawczego dla Dzieci Niewidomych w Laskach</t>
  </si>
  <si>
    <t>Przelewy redystrybucyjne</t>
  </si>
  <si>
    <t>z tego dla :</t>
  </si>
  <si>
    <t xml:space="preserve">- samorządów wojewódzkich na realizację zadań </t>
  </si>
  <si>
    <t xml:space="preserve">- samorządów wojewódzkich na pokrycie kosztów obsługi realizowanych zadań </t>
  </si>
  <si>
    <t>- samorządów powiatowych na realizację zadań</t>
  </si>
  <si>
    <t>koszty sam.</t>
  </si>
  <si>
    <t xml:space="preserve">- samorządów powiatowych na pokrycie kosztów obsługi realizowanychzadań </t>
  </si>
  <si>
    <t>z tego:</t>
  </si>
  <si>
    <t>- zwrot dotacji wykorzystanych niezgodnie z przeznaczeniem lub pobranych w nadmiernej wysokości</t>
  </si>
  <si>
    <t>Naleznosci WWO+WSP+DK</t>
  </si>
  <si>
    <t>- zwrot dotacji wykorzystanych niezgodnie z przeznaczeniem lub pobranych w nadmiernej wysokości - UE</t>
  </si>
  <si>
    <t>2917</t>
  </si>
  <si>
    <t>STANY</t>
  </si>
  <si>
    <t>IV.</t>
  </si>
  <si>
    <t>Stan funduszu na koniec roku (I+II-III) *)</t>
  </si>
  <si>
    <t>PW2012</t>
  </si>
  <si>
    <r>
      <t xml:space="preserve">Środki pieniężne (z lokatami)                                                                                                                    </t>
    </r>
    <r>
      <rPr>
        <b/>
        <sz val="11"/>
        <rFont val="Times New Roman CE"/>
        <family val="1"/>
        <charset val="238"/>
      </rPr>
      <t>KASOWO!!!</t>
    </r>
  </si>
  <si>
    <t>pozostałe:</t>
  </si>
  <si>
    <t>Część D Dane w układzie kasowym</t>
  </si>
  <si>
    <t>Wpływy</t>
  </si>
  <si>
    <t>1.3</t>
  </si>
  <si>
    <t xml:space="preserve">    - na finansowanie składek na ubezpieczenia społeczne</t>
  </si>
  <si>
    <t>Wypływy</t>
  </si>
  <si>
    <t xml:space="preserve">Powódź 2010 </t>
  </si>
  <si>
    <t xml:space="preserve">  --- inne  koszty i opłaty</t>
  </si>
  <si>
    <t>Część C Dane uzupełniające</t>
  </si>
  <si>
    <t>Zobowiązanie
wg wartości nominalnej</t>
  </si>
  <si>
    <t>papiery wartościowe</t>
  </si>
  <si>
    <t>Kredyty i pożyczki, w tym zaciągnięte od:</t>
  </si>
  <si>
    <t>sektora finansów publicznych</t>
  </si>
  <si>
    <t>-pozostałych</t>
  </si>
  <si>
    <t>1.4</t>
  </si>
  <si>
    <t>Depozyty</t>
  </si>
  <si>
    <t>1.5</t>
  </si>
  <si>
    <t>zobowiązania wymagalne</t>
  </si>
  <si>
    <t>Część D Dane uzupełniające</t>
  </si>
  <si>
    <t>1</t>
  </si>
  <si>
    <t>Wolne środki finansowe przekazane w zarządzanie lub depozyt u Ministra Finansów</t>
  </si>
  <si>
    <t>- depozyty overnight (O/N)</t>
  </si>
  <si>
    <t>- depozyty terminowe</t>
  </si>
  <si>
    <t>Stan funduszu na koniec 2011 roku powiększają wydatki inwestycyjne własne i zakupy inwestycyjne własne w kwocie  tys. zł.</t>
  </si>
  <si>
    <t>Stan funduszu na koniec 2012 roku powiększają wydatki inwestycyjne własne i zakupy inwestycyjne własne w kwocie   tys. zł.</t>
  </si>
  <si>
    <t>Stan funduszu na koniec 2013 roku powiększają wydatki inwestycyjne własne i zakupy inwestycyjne własne w kwocie   tys. zł.</t>
  </si>
  <si>
    <t>Stan funduszu na koniec 2014 roku powiększają wydatki inwestycyjne własne i zakupy inwestycyjne własne w kwocie   tys. zł.</t>
  </si>
  <si>
    <t>Stan funduszu na koniec 2015 roku powiększają wydatki inwestycyjne własne i zakupy inwestycyjne własne w kwocie   tys. zł.</t>
  </si>
  <si>
    <t>sporządził  .......................................................................................................................................</t>
  </si>
  <si>
    <t>(imię i nazwisko, stanowisko służbowe)</t>
  </si>
  <si>
    <t>nr telefonu...........................................................    adres e-mail..........................................................</t>
  </si>
  <si>
    <t>data....................................................................     podpis...............................................................</t>
  </si>
  <si>
    <t>Załącznik nr 45</t>
  </si>
  <si>
    <t>PFC</t>
  </si>
  <si>
    <t xml:space="preserve">Realizacja programów wspieranych ze środków pomocowych Unii Europejskiej - art. 47 ust. 1 pkt 2 </t>
  </si>
  <si>
    <t>Zrekompensowanie gminom dochodów utraconych z tytułu zastosowania ustawowych zwolnień dla prowadzacych 
zakłady pracy chronionej lub zakłady aktywności zawodowej z podatku od nieruchomości, rolnego,leśnego i od czynności cywilnoprawnych - art. 47 ust. 2</t>
  </si>
  <si>
    <t>8.1.</t>
  </si>
  <si>
    <t>Zwrot kosztów budowy lub rozbudowy obiektów i pomieszczeń zakładu, transportowych i administracyjnych
- art. 32 ust. 1 pkt 2</t>
  </si>
  <si>
    <t>- wynagrodzenia osobowe</t>
  </si>
  <si>
    <t>- zakup usług, w tym:</t>
  </si>
  <si>
    <t xml:space="preserve">  - remonty</t>
  </si>
  <si>
    <t xml:space="preserve">  - pozostałe, z tego:</t>
  </si>
  <si>
    <t>13.6.1</t>
  </si>
  <si>
    <t xml:space="preserve">  - amortyzacja (umorzenia)</t>
  </si>
  <si>
    <t>13.6.2</t>
  </si>
  <si>
    <t xml:space="preserve">  - inne</t>
  </si>
  <si>
    <t>13.7</t>
  </si>
  <si>
    <t xml:space="preserve">  - odpis aktualizujący wartość należności z tytułu wpłat na PFRON, pożyczek, odsetek od pożyczek oraz 
   innych należności</t>
  </si>
  <si>
    <t>Część B Plan finansowy w układzie memoriałowym</t>
  </si>
  <si>
    <t>8</t>
  </si>
  <si>
    <t>Środki pieniężne</t>
  </si>
  <si>
    <t xml:space="preserve">   - należności z tytułu wpłat obowiązkowych</t>
  </si>
  <si>
    <t xml:space="preserve">   - należności z tytułu udzielonych pożyczek</t>
  </si>
  <si>
    <t>Zobowiązania, z tego:</t>
  </si>
  <si>
    <t>3.1</t>
  </si>
  <si>
    <t>3.1.1</t>
  </si>
  <si>
    <t xml:space="preserve">Przychody </t>
  </si>
  <si>
    <t>Dotacje z budżetu państwa, z tego:</t>
  </si>
  <si>
    <t xml:space="preserve">    - dla państwowego funduszu celowego</t>
  </si>
  <si>
    <t xml:space="preserve">  - zrekompensowanie gminom dochodów utraconych z tytułu zastosowania ustawowych zwolnień dla prowadzacych
     zakłady pracy chronionej lub zakłady aktywności zawodowej z podatku od nieruchomości, rolnego,leśnego
     i od czynności cywilnoprawnych - art. 47 ust. 2</t>
  </si>
  <si>
    <t>Składki i opłaty</t>
  </si>
  <si>
    <t xml:space="preserve">Przelewy redystrybucyjne </t>
  </si>
  <si>
    <t>Pozostałe przychody</t>
  </si>
  <si>
    <t>w tym: odsetki</t>
  </si>
  <si>
    <t>2910-2919</t>
  </si>
  <si>
    <t xml:space="preserve">Koszty realizacji zadań </t>
  </si>
  <si>
    <t>dotacje dla jednostek sektora finansów publicznych</t>
  </si>
  <si>
    <t xml:space="preserve">   - środki na zadania ustawowe (bez współfinansowania)</t>
  </si>
  <si>
    <t xml:space="preserve">   - środki na współfinansowanie programów i projektów realizowanych ze środków UE</t>
  </si>
  <si>
    <t>-- realizacja programów wspieranych ze środków pomocowych UE art. 47 ust. 1 pkt 2</t>
  </si>
  <si>
    <t>-- realizacja działań wyrównujących różnice między regionami art. 47 ust. 1 pkt 1</t>
  </si>
  <si>
    <t>-- zrekompensowanie gminom dochodów utraconych z tytułu zastosowania ustawowych zwolnień 
dla prowadzacych zpch lub zaz z podatku rolnego,leśnego od nieruchomości i od czynności cywilnoprawnych
 - art. 47 ust. 2</t>
  </si>
  <si>
    <t>-- dofinansowanie badań, ekspertyz, analiz  art. 47 ust. 1 pkt 4 lit.b</t>
  </si>
  <si>
    <t>-- zadania zlecane art.. 36</t>
  </si>
  <si>
    <t xml:space="preserve">-- programy zatwierdzone przez Radę Nadzorczą, służące rehabilitacji społecznej, zawodowej i leczniczej
art. 47 ust. 1 pkt 4 lit.a </t>
  </si>
  <si>
    <t>Program zatrudnienia w sektorze publicznym</t>
  </si>
  <si>
    <t>Homer 2010</t>
  </si>
  <si>
    <t xml:space="preserve">Wczesna Pomoc Dziecku Niepełnosprawnemu </t>
  </si>
  <si>
    <t>dotacje dla jednostek niezaliczanych do sektora finansów publicznych</t>
  </si>
  <si>
    <t>-- refundacja składek na ubezpieczenia społeczne (art. 25a)</t>
  </si>
  <si>
    <t xml:space="preserve">   --- dofinansowanie oprocentowania kredytów bankowych - art. 32 ust. 1 pkt 1, </t>
  </si>
  <si>
    <t xml:space="preserve">   --- zwrot kosztów budowy lub rozbudowy obiektów i pomieszczeń zakładów, transportowych i administracyjnych
       - art. 32 ust. 1 pkt 2</t>
  </si>
  <si>
    <t xml:space="preserve">-- dofinansowanie do wynagrodzeń  pracowników niepełnosprawnych art. 26a </t>
  </si>
  <si>
    <t>-- zadania zlecane art.36</t>
  </si>
  <si>
    <t>-- programy zatwierdzone przez Radę Nadzorczą, służące rehabilitacji społecznej, zawodowej i leczniczej
art. 47 ust. 1 pkt 4 lit.a</t>
  </si>
  <si>
    <t>Program Wsparcia Międzynarodowych Imprez Sportowych dla Osób Niepełnosprawnych 
organizowanych na terenie Polski</t>
  </si>
  <si>
    <t>Biblioteka PZn</t>
  </si>
  <si>
    <t>Transfery na rzecz ludności, z tego na:</t>
  </si>
  <si>
    <t xml:space="preserve">   - dofinansowanie kosztów szkolenia, o których mowa w art. 18 ustawy o języku migowym i innych środkach 
     komunikowania się - art. 47 ust 1 pkt. 4 lit. c </t>
  </si>
  <si>
    <t xml:space="preserve">   - różne wydatki na rzecz osób fizycznych </t>
  </si>
  <si>
    <t>homer 2010</t>
  </si>
  <si>
    <t>pegaz 2010</t>
  </si>
  <si>
    <t>-- umorzenia pożyczek art. 47 ust. 1 pkt 4 lit.a</t>
  </si>
  <si>
    <t xml:space="preserve">   - wydatki osobowe nie zaliczone do wynagrodzeń</t>
  </si>
  <si>
    <t>Koszty własne</t>
  </si>
  <si>
    <t>wynagrodzenia, z tego:</t>
  </si>
  <si>
    <t xml:space="preserve">   - osobowe</t>
  </si>
  <si>
    <t xml:space="preserve">   - bezosobowe</t>
  </si>
  <si>
    <t xml:space="preserve">   - wynagrodzenia</t>
  </si>
  <si>
    <t>4010-4100</t>
  </si>
  <si>
    <t>4010 i 4100</t>
  </si>
  <si>
    <t>składki na ubezpieczenia społeczne</t>
  </si>
  <si>
    <t>4.2.1</t>
  </si>
  <si>
    <t>składki na Fundusz Pracy</t>
  </si>
  <si>
    <t>4.3.1</t>
  </si>
  <si>
    <t xml:space="preserve">   - wynagrodzenia bezosobowe</t>
  </si>
  <si>
    <t>4.4.1</t>
  </si>
  <si>
    <t>zakup usług, w tym:</t>
  </si>
  <si>
    <t xml:space="preserve">   -  remonty</t>
  </si>
  <si>
    <t>pozostałe, z tego:</t>
  </si>
  <si>
    <t>- zakupy maeriałów i energii</t>
  </si>
  <si>
    <t>---- środki na zadania ustawowe (bez współfinansowania)</t>
  </si>
  <si>
    <t>--- zakup energii</t>
  </si>
  <si>
    <t>--- zakup usług zdrowotnych</t>
  </si>
  <si>
    <t>- pozostałe podatki na rzecz budżetu państwa i budżetów jednostek samorządowych</t>
  </si>
  <si>
    <t>4490-4500</t>
  </si>
  <si>
    <t>- kary i odzszkodowania OF</t>
  </si>
  <si>
    <t>- kary i odzszkodowania</t>
  </si>
  <si>
    <t xml:space="preserve">   - amortyzacja (umorzenia)</t>
  </si>
  <si>
    <t>- zakupy materiałów papierniczych do sprzętu drukarskiego i urządzeń kserograficznych</t>
  </si>
  <si>
    <t>4740</t>
  </si>
  <si>
    <t>-- środki na współfinansowanie programów i projektów realizowanych ze środków UE</t>
  </si>
  <si>
    <t>4749</t>
  </si>
  <si>
    <t>- zakup akcesoriów komputerowych, w tym programów i licencji</t>
  </si>
  <si>
    <t>4750</t>
  </si>
  <si>
    <t>4759</t>
  </si>
  <si>
    <t xml:space="preserve">   - inne</t>
  </si>
  <si>
    <t xml:space="preserve">   - odpis aktualizujący wartość należności z tytułu wpłat na PFRON, pożyczek, odsetek od pożyczek oraz 
   innych należności</t>
  </si>
  <si>
    <t>Koszty inwestycyjne, w tym:</t>
  </si>
  <si>
    <t>- wydatki inwestycyjne i wydatki na zakupy inwestycyjne</t>
  </si>
  <si>
    <t>6110-6120</t>
  </si>
  <si>
    <t xml:space="preserve">   - dotacje inwestycyjne</t>
  </si>
  <si>
    <t>6260-6270</t>
  </si>
  <si>
    <t xml:space="preserve">   -dla sektora finansów publicznych</t>
  </si>
  <si>
    <t>--- realizacja działań wyrównujących różnice między regionami art. 47 ust. 1 pkt 1</t>
  </si>
  <si>
    <t>--- dofinansowanie badań, ekspertyz, analiz art. 47 ust. 1 pkt 4 lit.b</t>
  </si>
  <si>
    <t>--- programy zatwierdzone przez Radę Nadzorczą, służące rehabilitacji społecznej, zawodowej i leczniczej
art. 47 ust. 1 pkt 4 lit.a</t>
  </si>
  <si>
    <t xml:space="preserve">   -dla jednostek niezaliczanych do sektora finansów publicznych</t>
  </si>
  <si>
    <t>--Dofinansowanie oprocentowania kredytów bankowych - art. 32 ust. 1 pkt 1,
Zwrot kosztów budowy lub rozbudowy obiektów i pomieszczeń zakładów, transportowych i administracyjnych - art. 32 ust. 1 pkt 2</t>
  </si>
  <si>
    <t>Wsparcie Ośrodka Szkolno-Wychowawczego w Laskach</t>
  </si>
  <si>
    <t>Przelewy redystrybucyjne, z tego na:</t>
  </si>
  <si>
    <t>6.1</t>
  </si>
  <si>
    <t xml:space="preserve">   - samorządów wojewódzkich na realizację zadań </t>
  </si>
  <si>
    <t>6.2</t>
  </si>
  <si>
    <t xml:space="preserve">   - samorządów wojewódzkich na pokrycie kosztów obsługi realizowanych zadań </t>
  </si>
  <si>
    <t>6.3</t>
  </si>
  <si>
    <t xml:space="preserve">   - samorządów powiatowych na realizację zadań</t>
  </si>
  <si>
    <t>6.4</t>
  </si>
  <si>
    <t xml:space="preserve">   - samorządów powiatowych na pokrycie kosztów obsługi realizowanych zadań </t>
  </si>
  <si>
    <t xml:space="preserve"> - należności z tytułu wpłat obowiązkowych</t>
  </si>
  <si>
    <t xml:space="preserve"> - należności z tytułu udzielonych pożyczek</t>
  </si>
  <si>
    <t>Część C Dane w układzie kasowym</t>
  </si>
  <si>
    <t>Pozostałe wpływy</t>
  </si>
  <si>
    <t xml:space="preserve">Dofinansowanie kosztów szkolenia, o których mowa w art. 18 ustawy o języku migowym i innych środkach komunikowania się - art. 47 ust 1 pkt. 4 lit. c </t>
  </si>
  <si>
    <t xml:space="preserve">- różne wydatki na rzecz osób fizycznych </t>
  </si>
  <si>
    <t>3027</t>
  </si>
  <si>
    <t>Wynagrodzenia</t>
  </si>
  <si>
    <t>4017</t>
  </si>
  <si>
    <t>4117</t>
  </si>
  <si>
    <t>4127</t>
  </si>
  <si>
    <t>4177</t>
  </si>
  <si>
    <t>4217</t>
  </si>
  <si>
    <t>- zakup usług pozostałych</t>
  </si>
  <si>
    <t>4307</t>
  </si>
  <si>
    <t>4357</t>
  </si>
  <si>
    <t>4377</t>
  </si>
  <si>
    <t>4387</t>
  </si>
  <si>
    <t>- czynsz</t>
  </si>
  <si>
    <t>4407</t>
  </si>
  <si>
    <t>- podróże służbowe krajowe</t>
  </si>
  <si>
    <t>4417</t>
  </si>
  <si>
    <t>- podróże służbowe zagraniczne</t>
  </si>
  <si>
    <t>4427</t>
  </si>
  <si>
    <t>4727</t>
  </si>
  <si>
    <t>4747</t>
  </si>
  <si>
    <t>4757</t>
  </si>
  <si>
    <t>Zakupy inwestycyjne (własne)</t>
  </si>
  <si>
    <t>6127</t>
  </si>
  <si>
    <t>6267</t>
  </si>
  <si>
    <t>6277</t>
  </si>
  <si>
    <t>- osobowe</t>
  </si>
  <si>
    <t>- bezosobowe</t>
  </si>
  <si>
    <t>--- zakupy materiałów i energii</t>
  </si>
  <si>
    <t>4210-4260</t>
  </si>
  <si>
    <t>4410-4720</t>
  </si>
  <si>
    <t xml:space="preserve">   -  inne</t>
  </si>
  <si>
    <t>Wydatki inwestycyjne, w tym:</t>
  </si>
  <si>
    <t>6129</t>
  </si>
  <si>
    <t>- dotacje inwestycyjne</t>
  </si>
  <si>
    <t>6269</t>
  </si>
  <si>
    <t>--- realizacja programów wspieranych ze środków pomocowych UE art. 47 ust. 1 pkt 2</t>
  </si>
  <si>
    <t>6279</t>
  </si>
  <si>
    <t>Część E Dane uzupełniające</t>
  </si>
  <si>
    <t>Wyszczególnienie</t>
  </si>
  <si>
    <t>Zobowiązania
 wg wartości nominalnej</t>
  </si>
  <si>
    <t xml:space="preserve"> Papiery wartościowe</t>
  </si>
  <si>
    <t xml:space="preserve"> Kredyty i pożyczki, w tym zaciągnięte od:</t>
  </si>
  <si>
    <t xml:space="preserve"> - sektora finansów publicznych</t>
  </si>
  <si>
    <t xml:space="preserve"> - pozostałych</t>
  </si>
  <si>
    <t xml:space="preserve"> Depozyty</t>
  </si>
  <si>
    <t xml:space="preserve"> Zobowiązania wymagalne</t>
  </si>
  <si>
    <t>Część F Dane uzupełniające</t>
  </si>
  <si>
    <t>#)</t>
  </si>
  <si>
    <t>Stan funduszu na koniec 2011 roku powiększają wydatki inwestycyjne własne i zakupy inwestycyjne własne w kwocie  tys. 40.011 zł.</t>
  </si>
  <si>
    <t>Stan funduszu na koniec 2012 roku powiększają wydatki inwestycyjne własne i zakupy inwestycyjne własne w kwocie 41.635 tys. zł.</t>
  </si>
  <si>
    <t xml:space="preserve">Stan funduszu na koniec 2013 roku powiększają wydatki inwestycyjne własne i zakupy inwestycyjne własne w kwocie </t>
  </si>
  <si>
    <t>tys. zł</t>
  </si>
  <si>
    <t xml:space="preserve">Stan funduszu na koniec 2014 roku powiększają wydatki inwestycyjne własne i zakupy inwestycyjne własne w kwocie </t>
  </si>
  <si>
    <t>Stan funduszu na koniec 2015 roku powiększają wydatki inwestycyjne własne i zakupy inwestycyjne własne w kwocie</t>
  </si>
  <si>
    <t>*) Projekt Planu na 2011 rok opracowany przy uwzględnieniu dotacji budżetowej celowej na poziomie 30% środków przeznaczonych na realizację zadania dofinansowania do wynagrodzeń pracowników niepełnosprawnych</t>
  </si>
  <si>
    <t>**) Projekt Planu na 2012 rok opracowany przy uwzględnieniu dotacji budżetowej celowej na poziomie 55% środków przeznaczonych na realizację zadania dofinansowania do wynagrodzeń pracowników niepełnosprawnych</t>
  </si>
  <si>
    <t>***) Projekt Planu na 2013 rok opracowany przy uwzględnieniu dotacji budżetowej celowej na poziomie 55% środków przeznaczonych na realizację zadania dofinansowania do wynagrodzeń pracowników niepełnosprawnych</t>
  </si>
  <si>
    <t>****) Projekt Planu na 2014 rok opracowany przy uwzględnieniu dotacji budżetowej celowej na poziomie 55% środków przeznaczonych na realizację zadania dofinansowania do wynagrodzeń pracowników niepełnosprawnych</t>
  </si>
  <si>
    <t>Stan funduszu na koniec 2016 roku powiększają wydatki inwestycyjne własne i zakupy inwestycyjne własne w kwocie</t>
  </si>
  <si>
    <t>Stan funduszu na koniec 2017 roku powiększają wydatki inwestycyjne własne i zakupy inwestycyjne własne w kwocie</t>
  </si>
  <si>
    <t>sporzadził: ……………………………………………………………………</t>
  </si>
  <si>
    <t xml:space="preserve">                              (imię i nazwisko, stanowisko słuzbowe)</t>
  </si>
  <si>
    <t>nr telefonu ……………………     adres e-mail ……………………..</t>
  </si>
  <si>
    <t>data  ……………………..…            podpis ………………………………</t>
  </si>
  <si>
    <t>Projekt planu na 2009 rok</t>
  </si>
  <si>
    <t>Plan na 2014 rok</t>
  </si>
  <si>
    <t>Państwowego Funduszu Rehabilitacji Osób Niepełnosprawnych</t>
  </si>
  <si>
    <t xml:space="preserve">w tysiącach złotych  </t>
  </si>
  <si>
    <t>L.p.</t>
  </si>
  <si>
    <t>Tytuł</t>
  </si>
  <si>
    <t>§ 244</t>
  </si>
  <si>
    <t>§ 245</t>
  </si>
  <si>
    <t>§ 626</t>
  </si>
  <si>
    <t>§ 627</t>
  </si>
  <si>
    <t>§ 296</t>
  </si>
  <si>
    <t>Razem</t>
  </si>
  <si>
    <t>Struktura
wydatków
2012 r.
%</t>
  </si>
  <si>
    <t>Projekt
planu
na 2016 rok</t>
  </si>
  <si>
    <t>I</t>
  </si>
  <si>
    <t>- środki na zadania ustawowe (§ xxx0)</t>
  </si>
  <si>
    <t>- finansowanie ze środków UE (§ xxx7)</t>
  </si>
  <si>
    <t>- współfinansowanie (§ xxx9)</t>
  </si>
  <si>
    <t>A)</t>
  </si>
  <si>
    <t>Samorządy wojewódzkie</t>
  </si>
  <si>
    <t>- na realizację zadań</t>
  </si>
  <si>
    <t>- na pokrycie kosztów obsługi realizowanych zadań</t>
  </si>
  <si>
    <t>B)</t>
  </si>
  <si>
    <t>Samorządy powiatowe</t>
  </si>
  <si>
    <t>C)</t>
  </si>
  <si>
    <t>Biuro i Oddziały PFRON</t>
  </si>
  <si>
    <t>C-1</t>
  </si>
  <si>
    <t>Zadania ustawowe</t>
  </si>
  <si>
    <t>a)</t>
  </si>
  <si>
    <t>realizacja działań wyrównujących różnice między regionami art. 47 ust. 1 pkt 1</t>
  </si>
  <si>
    <t>b)</t>
  </si>
  <si>
    <t>realizacja programów wspieranych za środków pomocowych UE art. 47 ust. 1 pkt 2</t>
  </si>
  <si>
    <t>d)</t>
  </si>
  <si>
    <t>dofinansowanie rekompensaty dla gmin art. 47 ust. 2</t>
  </si>
  <si>
    <t>e)</t>
  </si>
  <si>
    <t>refundacja kosztów wydawania certyfikatów przez podmioty uprawnione do szkolenia
psów asystujących art. 20b</t>
  </si>
  <si>
    <t>f)</t>
  </si>
  <si>
    <t>g)</t>
  </si>
  <si>
    <t>zadania zlecane art. 36</t>
  </si>
  <si>
    <t>Dofinansowanie do oprocentowania kredytów bankowych - art. 32 ust. 1 pkt 1</t>
  </si>
  <si>
    <t>h)</t>
  </si>
  <si>
    <t>Zwrot kosztów budowy lub rozbudowy obiektów i pomieszczeń zakładu, transportowych i administracyjnych - art. 32 ust. 1 pkt 2</t>
  </si>
  <si>
    <t>i)</t>
  </si>
  <si>
    <t>dofinansowanie do wynagrodzeń pracowników niepełnosprawnych art. 26a</t>
  </si>
  <si>
    <t>-  dotacja budżetowa</t>
  </si>
  <si>
    <t>- środki własne</t>
  </si>
  <si>
    <t xml:space="preserve">Dofinansowanie kosztów szkolenia, o których mowa w art. 18 ustawy o języku migowym 
i innych środkach komunikowania się - art. 47 ust 1 pkt. 4 lit. c </t>
  </si>
  <si>
    <t>j)</t>
  </si>
  <si>
    <t>dofinansowanie badań, ekspertyz, analiz art. 47 ust. 1 pkt 4 lit.b</t>
  </si>
  <si>
    <t>C-2</t>
  </si>
  <si>
    <t xml:space="preserve">"Junior" </t>
  </si>
  <si>
    <t>c)</t>
  </si>
  <si>
    <t>"Komputer dla Homera 2010"</t>
  </si>
  <si>
    <t>"Student II"</t>
  </si>
  <si>
    <t xml:space="preserve">"Pegaz 2003" </t>
  </si>
  <si>
    <t xml:space="preserve">"Pegaz 2010" </t>
  </si>
  <si>
    <t>"Pitagoras 2007"</t>
  </si>
  <si>
    <t>m)</t>
  </si>
  <si>
    <t>"Aktywny Samorząd"</t>
  </si>
  <si>
    <t>o)</t>
  </si>
  <si>
    <t>"Wsparcie Inicjatyw"</t>
  </si>
  <si>
    <t>r)</t>
  </si>
  <si>
    <t>"Wczesna Pomoc Dziecku Niepełnosprawnemu"</t>
  </si>
  <si>
    <t>„Wsparcie dla Biblioteki Centralnej PZN”</t>
  </si>
  <si>
    <t>q)</t>
  </si>
  <si>
    <t>Wydatki osobowe nie zaliczane do wynagrodzeń §302</t>
  </si>
  <si>
    <t xml:space="preserve"> </t>
  </si>
  <si>
    <t>Wydatki bieżące własne § 401 - 481</t>
  </si>
  <si>
    <t>Zwrot dotacji wykorzystanych niezgodnie z przeznaczeniem lub pobranych w nadmiernej wysokości § 2910 i 2917</t>
  </si>
  <si>
    <t>z tego: - wydatki inwestycyjne (inwestycje rozpoczęte) § 6110</t>
  </si>
  <si>
    <t xml:space="preserve">  </t>
  </si>
  <si>
    <t xml:space="preserve">           - zakupy inwestycyjne § 612</t>
  </si>
  <si>
    <t>Projekt planu na 2010 rok</t>
  </si>
  <si>
    <t>Rozliczenie pożyczek</t>
  </si>
  <si>
    <t xml:space="preserve">w  złotych  </t>
  </si>
  <si>
    <t>należności
na 01.01.</t>
  </si>
  <si>
    <t>udzielone
pożyczki</t>
  </si>
  <si>
    <t>spłacone
pożyczki
i odsetki</t>
  </si>
  <si>
    <t>umorzone
i spisane
ze stanu
pożyczki</t>
  </si>
  <si>
    <t>Rozliczone
pożyczki,
odsetki
i zobowiązania</t>
  </si>
  <si>
    <t>należności
na koniec
okresu</t>
  </si>
  <si>
    <t>ZPCH (§ 2450)</t>
  </si>
  <si>
    <t>2009 r.</t>
  </si>
  <si>
    <t>- plan</t>
  </si>
  <si>
    <t>- plan po zmianach</t>
  </si>
  <si>
    <t>- przewidywane wykonanie</t>
  </si>
  <si>
    <t>2010 r.</t>
  </si>
  <si>
    <t>—</t>
  </si>
  <si>
    <t>2011 r.</t>
  </si>
  <si>
    <t>2012 r.</t>
  </si>
  <si>
    <t>II</t>
  </si>
  <si>
    <t>Programy specjalne - razem</t>
  </si>
  <si>
    <t>RAZEM pożyczki na zadania ustawowe i programy specjalne</t>
  </si>
  <si>
    <t>Pozostałe pożyczki (ZFŚS)</t>
  </si>
  <si>
    <t>OGÓŁEM pożyczki PFRON</t>
  </si>
  <si>
    <t>Rozliczenie pożyczek - Programy specjalne</t>
  </si>
  <si>
    <t>A</t>
  </si>
  <si>
    <t>Program samochodowy '95 (§ 3030)</t>
  </si>
  <si>
    <t>B</t>
  </si>
  <si>
    <t>Program "MEDIUM" i "MEDIUM  II" (§ 2450)</t>
  </si>
  <si>
    <t>C</t>
  </si>
  <si>
    <t>Program "Premia dla Aktywnych" (§ 3030)</t>
  </si>
  <si>
    <t>D</t>
  </si>
  <si>
    <t>Program "Pegaz" (§ 3030)</t>
  </si>
  <si>
    <t>E</t>
  </si>
  <si>
    <t>Program "Komputer dla Homera" (§ 3030)</t>
  </si>
  <si>
    <t>F</t>
  </si>
  <si>
    <t>Program "Sezam" (§ 2450)</t>
  </si>
  <si>
    <t>Razem Programy Celowe</t>
  </si>
  <si>
    <t xml:space="preserve">  - wymagalne</t>
  </si>
  <si>
    <t>w tym: niewymagalne</t>
  </si>
  <si>
    <r>
      <t xml:space="preserve">Wydatki ogółem   ( A : C ) + ( 1 </t>
    </r>
    <r>
      <rPr>
        <b/>
        <strike/>
        <sz val="12"/>
        <rFont val="Calibri"/>
        <family val="2"/>
        <charset val="238"/>
      </rPr>
      <t>:</t>
    </r>
    <r>
      <rPr>
        <b/>
        <sz val="12"/>
        <rFont val="Calibri"/>
        <family val="2"/>
        <charset val="238"/>
      </rPr>
      <t xml:space="preserve"> 4 )</t>
    </r>
  </si>
  <si>
    <r>
      <t xml:space="preserve">Programy służące rehabilitacji społecznej i zawodowej </t>
    </r>
    <r>
      <rPr>
        <sz val="12"/>
        <rFont val="Calibri"/>
        <family val="2"/>
        <charset val="238"/>
      </rPr>
      <t>art. 47 ust. 1 pkt 4 lit.,a</t>
    </r>
  </si>
  <si>
    <t>Transfery
§ 302, 
§ 303</t>
  </si>
  <si>
    <t>RAZEM</t>
  </si>
  <si>
    <t>w tys. zł</t>
  </si>
  <si>
    <t>4</t>
  </si>
  <si>
    <t>Wniosek o przeniesienie</t>
  </si>
  <si>
    <t>Plan po zmianach</t>
  </si>
  <si>
    <t>3</t>
  </si>
  <si>
    <t>5</t>
  </si>
  <si>
    <t>Stan funduszu na koniec roku (I+II-III) *</t>
  </si>
  <si>
    <t>*</t>
  </si>
  <si>
    <t xml:space="preserve">Dofinansowanie kosztów szkolenia, o których mowa w art. 18 ustawy o języku migowym i innych środkach 
komunikowania się  (Dz.U Nr 209, poz 1243, z póżn. zm) - art. 47 ust 1 pkt. 4 lit. c </t>
  </si>
  <si>
    <t>Realizacja działań wyrównujących różnice między regionami - art. 47 ust. 1 pkt 1 ustawy z dnia 27 sierpnia 1997 r. 
o rehabilitacji zawodowej i społecznej oraz zatrudnianiu osób niepełnosprawnych (Dz. U z 2011 r. Nr 127, poz. 721, 
z póżn. zm.)</t>
  </si>
  <si>
    <t xml:space="preserve">Plan 
na 2014 r. 
</t>
  </si>
  <si>
    <t xml:space="preserve"> PLAN FINANSOWY PAŃSWOWEGO FUNDUSZU REHABILITACJI OSÓB NIEPEŁNOSPRAWNYCH</t>
  </si>
  <si>
    <t>2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</si>
  <si>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</si>
  <si>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</si>
  <si>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</si>
  <si>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</si>
  <si>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</si>
  <si>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</si>
  <si>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</si>
  <si>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</si>
  <si>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</si>
  <si>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</si>
  <si>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</si>
  <si>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PROJEKT</t>
  </si>
  <si>
    <t>Załącznik nr 1 
do uchwały nr            /2014 
Zarządu PFRON 
z dnia              2014 r.</t>
  </si>
  <si>
    <t>4520</t>
  </si>
  <si>
    <t>- opłaty na rzecz budżetów JST</t>
  </si>
  <si>
    <t>- składki na Ubezpieczenia Społeczne</t>
  </si>
  <si>
    <t xml:space="preserve">  --- inne koszty i opłaty</t>
  </si>
  <si>
    <t>Plan wg. Ustawy Budżetowej zmieniony
za zgodą MF z dnia 
30  kwietnia 2014 r. oraz 
opinią KFP 
z dnia 7 maja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</si>
</sst>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zł&quot;_-;\-* #,##0\ &quot;zł&quot;_-;_-* &quot;-&quot;\ &quot;zł&quot;_-;_-@_-"/>
    <numFmt numFmtId="164" formatCode="#,##0.0"/>
    <numFmt numFmtId="165" formatCode="&quot; (&quot;#,##0\)"/>
  </numFmts>
  <fonts count="52" x14ac:knownFonts="1"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55"/>
      <name val="Calibri"/>
      <family val="2"/>
      <charset val="238"/>
    </font>
    <font>
      <sz val="12"/>
      <color indexed="55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2"/>
      <name val="Calibri"/>
      <family val="2"/>
      <charset val="238"/>
    </font>
    <font>
      <i/>
      <sz val="8"/>
      <name val="Calibri"/>
      <family val="2"/>
      <charset val="238"/>
    </font>
    <font>
      <i/>
      <sz val="10"/>
      <name val="Calibri"/>
      <family val="2"/>
      <charset val="238"/>
    </font>
    <font>
      <i/>
      <sz val="11"/>
      <name val="Times New Roman CE"/>
      <family val="1"/>
      <charset val="238"/>
    </font>
    <font>
      <i/>
      <sz val="12"/>
      <color indexed="22"/>
      <name val="Times New Roman CE"/>
      <family val="1"/>
      <charset val="238"/>
    </font>
    <font>
      <sz val="14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8"/>
      <name val="Calibri"/>
      <family val="2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2"/>
      <name val="Calibri"/>
      <family val="2"/>
      <charset val="238"/>
    </font>
    <font>
      <b/>
      <strike/>
      <sz val="12"/>
      <name val="Calibri"/>
      <family val="2"/>
      <charset val="238"/>
    </font>
    <font>
      <b/>
      <i/>
      <sz val="18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/>
      <name val="Times New Roman CE"/>
      <family val="1"/>
      <charset val="238"/>
    </font>
    <font>
      <sz val="11"/>
      <color theme="0"/>
      <name val="Calibri"/>
      <family val="2"/>
      <charset val="238"/>
    </font>
    <font>
      <sz val="14"/>
      <color theme="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11"/>
        <bgColor indexed="40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4"/>
      </patternFill>
    </fill>
    <fill>
      <patternFill patternType="solid">
        <fgColor indexed="26"/>
        <b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37">
    <xf numFmtId="0" fontId="0" fillId="0" borderId="0" xfId="0"/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49" fontId="0" fillId="2" borderId="0" xfId="0" applyNumberFormat="1" applyFont="1" applyFill="1"/>
    <xf numFmtId="4" fontId="0" fillId="2" borderId="1" xfId="0" applyNumberFormat="1" applyFont="1" applyFill="1" applyBorder="1"/>
    <xf numFmtId="0" fontId="0" fillId="2" borderId="0" xfId="0" applyFont="1" applyFill="1"/>
    <xf numFmtId="49" fontId="2" fillId="2" borderId="0" xfId="0" applyNumberFormat="1" applyFont="1" applyFill="1"/>
    <xf numFmtId="4" fontId="3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4" fontId="0" fillId="2" borderId="0" xfId="0" applyNumberFormat="1" applyFont="1" applyFill="1" applyBorder="1"/>
    <xf numFmtId="4" fontId="2" fillId="2" borderId="0" xfId="0" applyNumberFormat="1" applyFont="1" applyFill="1" applyBorder="1"/>
    <xf numFmtId="0" fontId="0" fillId="2" borderId="0" xfId="0" applyFont="1" applyFill="1" applyAlignment="1">
      <alignment horizontal="left" vertical="top" indent="8"/>
    </xf>
    <xf numFmtId="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left"/>
    </xf>
    <xf numFmtId="3" fontId="4" fillId="4" borderId="8" xfId="0" applyNumberFormat="1" applyFont="1" applyFill="1" applyBorder="1" applyAlignment="1"/>
    <xf numFmtId="0" fontId="4" fillId="4" borderId="0" xfId="0" applyFont="1" applyFill="1"/>
    <xf numFmtId="49" fontId="4" fillId="4" borderId="1" xfId="0" applyNumberFormat="1" applyFont="1" applyFill="1" applyBorder="1" applyAlignment="1">
      <alignment horizontal="left"/>
    </xf>
    <xf numFmtId="3" fontId="4" fillId="4" borderId="1" xfId="0" applyNumberFormat="1" applyFont="1" applyFill="1" applyBorder="1" applyAlignment="1"/>
    <xf numFmtId="49" fontId="4" fillId="4" borderId="9" xfId="0" applyNumberFormat="1" applyFont="1" applyFill="1" applyBorder="1" applyAlignment="1">
      <alignment horizontal="left"/>
    </xf>
    <xf numFmtId="3" fontId="4" fillId="4" borderId="9" xfId="0" applyNumberFormat="1" applyFont="1" applyFill="1" applyBorder="1" applyAlignment="1"/>
    <xf numFmtId="49" fontId="0" fillId="2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horizontal="center"/>
    </xf>
    <xf numFmtId="0" fontId="8" fillId="2" borderId="0" xfId="0" applyFont="1" applyFill="1"/>
    <xf numFmtId="49" fontId="0" fillId="5" borderId="11" xfId="0" applyNumberFormat="1" applyFont="1" applyFill="1" applyBorder="1" applyAlignment="1">
      <alignment horizontal="left" vertical="center"/>
    </xf>
    <xf numFmtId="49" fontId="9" fillId="5" borderId="12" xfId="0" applyNumberFormat="1" applyFont="1" applyFill="1" applyBorder="1" applyAlignment="1">
      <alignment horizontal="left" vertical="center" indent="1"/>
    </xf>
    <xf numFmtId="3" fontId="0" fillId="5" borderId="11" xfId="0" applyNumberFormat="1" applyFont="1" applyFill="1" applyBorder="1" applyAlignment="1">
      <alignment vertical="center"/>
    </xf>
    <xf numFmtId="0" fontId="8" fillId="5" borderId="13" xfId="0" applyFont="1" applyFill="1" applyBorder="1"/>
    <xf numFmtId="49" fontId="0" fillId="2" borderId="11" xfId="0" applyNumberFormat="1" applyFont="1" applyFill="1" applyBorder="1" applyAlignment="1">
      <alignment horizontal="left" vertical="center"/>
    </xf>
    <xf numFmtId="3" fontId="0" fillId="2" borderId="11" xfId="0" applyNumberFormat="1" applyFont="1" applyFill="1" applyBorder="1" applyAlignment="1">
      <alignment vertic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14" xfId="0" applyNumberFormat="1" applyFont="1" applyFill="1" applyBorder="1"/>
    <xf numFmtId="0" fontId="8" fillId="5" borderId="15" xfId="0" applyFont="1" applyFill="1" applyBorder="1"/>
    <xf numFmtId="0" fontId="8" fillId="2" borderId="15" xfId="0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left" vertical="center" indent="2"/>
    </xf>
    <xf numFmtId="49" fontId="9" fillId="5" borderId="12" xfId="0" applyNumberFormat="1" applyFont="1" applyFill="1" applyBorder="1" applyAlignment="1">
      <alignment horizontal="left" wrapText="1" indent="1"/>
    </xf>
    <xf numFmtId="49" fontId="9" fillId="5" borderId="12" xfId="0" applyNumberFormat="1" applyFont="1" applyFill="1" applyBorder="1" applyAlignment="1">
      <alignment horizontal="left" indent="1"/>
    </xf>
    <xf numFmtId="3" fontId="8" fillId="5" borderId="13" xfId="0" applyNumberFormat="1" applyFont="1" applyFill="1" applyBorder="1"/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3" fontId="0" fillId="5" borderId="11" xfId="0" applyNumberFormat="1" applyFont="1" applyFill="1" applyBorder="1" applyAlignment="1"/>
    <xf numFmtId="0" fontId="4" fillId="5" borderId="0" xfId="0" applyFont="1" applyFill="1"/>
    <xf numFmtId="49" fontId="0" fillId="5" borderId="16" xfId="0" applyNumberFormat="1" applyFont="1" applyFill="1" applyBorder="1" applyAlignment="1">
      <alignment horizontal="left" vertical="center"/>
    </xf>
    <xf numFmtId="49" fontId="9" fillId="5" borderId="17" xfId="0" applyNumberFormat="1" applyFont="1" applyFill="1" applyBorder="1" applyAlignment="1">
      <alignment horizontal="left" vertical="center" wrapText="1" indent="1"/>
    </xf>
    <xf numFmtId="49" fontId="9" fillId="5" borderId="17" xfId="0" applyNumberFormat="1" applyFont="1" applyFill="1" applyBorder="1" applyAlignment="1">
      <alignment horizontal="left" vertical="center" indent="1"/>
    </xf>
    <xf numFmtId="3" fontId="0" fillId="5" borderId="18" xfId="0" applyNumberFormat="1" applyFont="1" applyFill="1" applyBorder="1" applyAlignment="1"/>
    <xf numFmtId="0" fontId="8" fillId="5" borderId="0" xfId="0" applyFont="1" applyFill="1" applyBorder="1"/>
    <xf numFmtId="49" fontId="0" fillId="2" borderId="16" xfId="0" applyNumberFormat="1" applyFont="1" applyFill="1" applyBorder="1" applyAlignment="1">
      <alignment horizontal="left" vertical="center"/>
    </xf>
    <xf numFmtId="3" fontId="0" fillId="2" borderId="11" xfId="0" applyNumberFormat="1" applyFont="1" applyFill="1" applyBorder="1" applyAlignment="1"/>
    <xf numFmtId="3" fontId="0" fillId="2" borderId="18" xfId="0" applyNumberFormat="1" applyFont="1" applyFill="1" applyBorder="1" applyAlignment="1"/>
    <xf numFmtId="0" fontId="4" fillId="2" borderId="0" xfId="0" applyFont="1" applyFill="1"/>
    <xf numFmtId="0" fontId="8" fillId="2" borderId="0" xfId="0" applyFont="1" applyFill="1" applyBorder="1"/>
    <xf numFmtId="49" fontId="10" fillId="2" borderId="19" xfId="0" applyNumberFormat="1" applyFont="1" applyFill="1" applyBorder="1" applyAlignment="1">
      <alignment horizontal="left"/>
    </xf>
    <xf numFmtId="3" fontId="10" fillId="2" borderId="19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9" fillId="3" borderId="0" xfId="0" applyFont="1" applyFill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/>
    <xf numFmtId="3" fontId="4" fillId="3" borderId="24" xfId="0" applyNumberFormat="1" applyFont="1" applyFill="1" applyBorder="1" applyAlignment="1"/>
    <xf numFmtId="2" fontId="9" fillId="3" borderId="0" xfId="0" applyNumberFormat="1" applyFont="1" applyFill="1"/>
    <xf numFmtId="0" fontId="4" fillId="3" borderId="0" xfId="0" applyFont="1" applyFill="1"/>
    <xf numFmtId="49" fontId="11" fillId="2" borderId="1" xfId="0" applyNumberFormat="1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49" fontId="9" fillId="2" borderId="1" xfId="0" applyNumberFormat="1" applyFont="1" applyFill="1" applyBorder="1" applyAlignment="1">
      <alignment horizontal="left"/>
    </xf>
    <xf numFmtId="0" fontId="9" fillId="2" borderId="22" xfId="0" applyFont="1" applyFill="1" applyBorder="1" applyAlignment="1">
      <alignment horizontal="left" indent="1"/>
    </xf>
    <xf numFmtId="3" fontId="9" fillId="2" borderId="1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0" fontId="9" fillId="2" borderId="22" xfId="0" applyFont="1" applyFill="1" applyBorder="1" applyAlignment="1">
      <alignment horizontal="left" wrapText="1" indent="1"/>
    </xf>
    <xf numFmtId="0" fontId="9" fillId="2" borderId="22" xfId="0" applyFont="1" applyFill="1" applyBorder="1" applyAlignment="1">
      <alignment horizontal="left" wrapText="1" indent="3"/>
    </xf>
    <xf numFmtId="49" fontId="7" fillId="6" borderId="11" xfId="0" applyNumberFormat="1" applyFont="1" applyFill="1" applyBorder="1" applyAlignment="1">
      <alignment horizontal="left"/>
    </xf>
    <xf numFmtId="49" fontId="0" fillId="6" borderId="11" xfId="0" applyNumberFormat="1" applyFont="1" applyFill="1" applyBorder="1" applyAlignment="1">
      <alignment horizontal="left"/>
    </xf>
    <xf numFmtId="49" fontId="7" fillId="6" borderId="26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right"/>
    </xf>
    <xf numFmtId="3" fontId="7" fillId="6" borderId="27" xfId="0" applyNumberFormat="1" applyFont="1" applyFill="1" applyBorder="1" applyAlignment="1">
      <alignment horizontal="right"/>
    </xf>
    <xf numFmtId="3" fontId="9" fillId="6" borderId="0" xfId="0" applyNumberFormat="1" applyFont="1" applyFill="1"/>
    <xf numFmtId="0" fontId="9" fillId="6" borderId="0" xfId="0" applyFont="1" applyFill="1"/>
    <xf numFmtId="49" fontId="9" fillId="2" borderId="22" xfId="0" applyNumberFormat="1" applyFont="1" applyFill="1" applyBorder="1" applyAlignment="1">
      <alignment horizontal="left" wrapText="1" indent="1"/>
    </xf>
    <xf numFmtId="49" fontId="1" fillId="2" borderId="9" xfId="0" applyNumberFormat="1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right"/>
    </xf>
    <xf numFmtId="3" fontId="10" fillId="2" borderId="29" xfId="0" applyNumberFormat="1" applyFon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7" fillId="6" borderId="27" xfId="0" applyFont="1" applyFill="1" applyBorder="1" applyAlignment="1">
      <alignment horizontal="left"/>
    </xf>
    <xf numFmtId="49" fontId="7" fillId="6" borderId="12" xfId="0" applyNumberFormat="1" applyFont="1" applyFill="1" applyBorder="1" applyAlignment="1">
      <alignment horizontal="center"/>
    </xf>
    <xf numFmtId="3" fontId="7" fillId="6" borderId="11" xfId="0" applyNumberFormat="1" applyFont="1" applyFill="1" applyBorder="1" applyAlignment="1"/>
    <xf numFmtId="3" fontId="7" fillId="6" borderId="27" xfId="0" applyNumberFormat="1" applyFont="1" applyFill="1" applyBorder="1" applyAlignment="1"/>
    <xf numFmtId="0" fontId="7" fillId="6" borderId="12" xfId="0" applyFont="1" applyFill="1" applyBorder="1"/>
    <xf numFmtId="49" fontId="7" fillId="2" borderId="1" xfId="0" applyNumberFormat="1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2" borderId="1" xfId="0" applyNumberFormat="1" applyFont="1" applyFill="1" applyBorder="1" applyAlignment="1"/>
    <xf numFmtId="3" fontId="7" fillId="2" borderId="0" xfId="0" applyNumberFormat="1" applyFont="1" applyFill="1" applyBorder="1" applyAlignment="1"/>
    <xf numFmtId="0" fontId="7" fillId="2" borderId="0" xfId="0" applyFont="1" applyFill="1"/>
    <xf numFmtId="49" fontId="0" fillId="2" borderId="1" xfId="0" applyNumberFormat="1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3" fontId="0" fillId="2" borderId="11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>
      <alignment horizontal="right"/>
    </xf>
    <xf numFmtId="2" fontId="4" fillId="2" borderId="3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center"/>
    </xf>
    <xf numFmtId="3" fontId="7" fillId="7" borderId="11" xfId="0" applyNumberFormat="1" applyFont="1" applyFill="1" applyBorder="1" applyAlignment="1" applyProtection="1">
      <alignment horizontal="right" vertical="center"/>
      <protection locked="0"/>
    </xf>
    <xf numFmtId="3" fontId="7" fillId="2" borderId="0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left" wrapText="1"/>
    </xf>
    <xf numFmtId="3" fontId="7" fillId="2" borderId="11" xfId="0" applyNumberFormat="1" applyFont="1" applyFill="1" applyBorder="1" applyAlignment="1" applyProtection="1">
      <alignment horizontal="right" vertical="center"/>
      <protection locked="0"/>
    </xf>
    <xf numFmtId="49" fontId="9" fillId="2" borderId="22" xfId="0" applyNumberFormat="1" applyFont="1" applyFill="1" applyBorder="1" applyAlignment="1">
      <alignment horizontal="left" indent="2"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3" fontId="0" fillId="2" borderId="22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2" fontId="1" fillId="2" borderId="0" xfId="0" applyNumberFormat="1" applyFont="1" applyFill="1" applyBorder="1"/>
    <xf numFmtId="3" fontId="0" fillId="2" borderId="1" xfId="0" applyNumberFormat="1" applyFont="1" applyFill="1" applyBorder="1" applyAlignment="1"/>
    <xf numFmtId="3" fontId="0" fillId="2" borderId="0" xfId="0" applyNumberFormat="1" applyFont="1" applyFill="1" applyBorder="1" applyAlignment="1"/>
    <xf numFmtId="49" fontId="10" fillId="2" borderId="9" xfId="0" applyNumberFormat="1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0" xfId="0" applyFont="1" applyFill="1" applyBorder="1"/>
    <xf numFmtId="2" fontId="10" fillId="2" borderId="0" xfId="0" applyNumberFormat="1" applyFont="1" applyFill="1" applyBorder="1"/>
    <xf numFmtId="49" fontId="10" fillId="2" borderId="1" xfId="0" applyNumberFormat="1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7" fillId="6" borderId="11" xfId="0" applyNumberFormat="1" applyFont="1" applyFill="1" applyBorder="1" applyAlignment="1">
      <alignment horizontal="right"/>
    </xf>
    <xf numFmtId="49" fontId="9" fillId="6" borderId="11" xfId="0" applyNumberFormat="1" applyFont="1" applyFill="1" applyBorder="1" applyAlignment="1">
      <alignment horizontal="left"/>
    </xf>
    <xf numFmtId="0" fontId="9" fillId="6" borderId="27" xfId="0" applyFont="1" applyFill="1" applyBorder="1" applyAlignment="1">
      <alignment horizontal="left"/>
    </xf>
    <xf numFmtId="49" fontId="9" fillId="6" borderId="12" xfId="0" applyNumberFormat="1" applyFont="1" applyFill="1" applyBorder="1" applyAlignment="1">
      <alignment horizontal="center"/>
    </xf>
    <xf numFmtId="3" fontId="9" fillId="6" borderId="11" xfId="0" applyNumberFormat="1" applyFont="1" applyFill="1" applyBorder="1" applyAlignment="1"/>
    <xf numFmtId="0" fontId="9" fillId="6" borderId="12" xfId="0" applyFont="1" applyFill="1" applyBorder="1"/>
    <xf numFmtId="0" fontId="9" fillId="6" borderId="27" xfId="0" applyFont="1" applyFill="1" applyBorder="1" applyAlignment="1">
      <alignment horizontal="left" indent="1"/>
    </xf>
    <xf numFmtId="3" fontId="9" fillId="2" borderId="1" xfId="0" applyNumberFormat="1" applyFont="1" applyFill="1" applyBorder="1" applyAlignment="1"/>
    <xf numFmtId="3" fontId="9" fillId="2" borderId="0" xfId="0" applyNumberFormat="1" applyFont="1" applyFill="1" applyBorder="1" applyAlignment="1"/>
    <xf numFmtId="49" fontId="9" fillId="2" borderId="22" xfId="0" applyNumberFormat="1" applyFont="1" applyFill="1" applyBorder="1" applyAlignment="1">
      <alignment horizontal="left" wrapText="1" indent="2"/>
    </xf>
    <xf numFmtId="49" fontId="9" fillId="6" borderId="27" xfId="0" applyNumberFormat="1" applyFont="1" applyFill="1" applyBorder="1" applyAlignment="1">
      <alignment horizontal="left" wrapText="1" indent="2"/>
    </xf>
    <xf numFmtId="0" fontId="0" fillId="6" borderId="12" xfId="0" applyFont="1" applyFill="1" applyBorder="1"/>
    <xf numFmtId="49" fontId="9" fillId="2" borderId="22" xfId="0" applyNumberFormat="1" applyFont="1" applyFill="1" applyBorder="1" applyAlignment="1">
      <alignment horizontal="left" indent="5"/>
    </xf>
    <xf numFmtId="3" fontId="11" fillId="2" borderId="1" xfId="0" applyNumberFormat="1" applyFont="1" applyFill="1" applyBorder="1" applyAlignment="1"/>
    <xf numFmtId="3" fontId="0" fillId="2" borderId="1" xfId="0" applyNumberFormat="1" applyFont="1" applyFill="1" applyBorder="1"/>
    <xf numFmtId="49" fontId="9" fillId="6" borderId="27" xfId="0" applyNumberFormat="1" applyFont="1" applyFill="1" applyBorder="1" applyAlignment="1">
      <alignment horizontal="left" indent="2"/>
    </xf>
    <xf numFmtId="3" fontId="9" fillId="2" borderId="1" xfId="0" applyNumberFormat="1" applyFont="1" applyFill="1" applyBorder="1"/>
    <xf numFmtId="49" fontId="9" fillId="2" borderId="22" xfId="0" applyNumberFormat="1" applyFont="1" applyFill="1" applyBorder="1" applyAlignment="1">
      <alignment vertical="center" wrapText="1"/>
    </xf>
    <xf numFmtId="3" fontId="9" fillId="7" borderId="1" xfId="0" applyNumberFormat="1" applyFont="1" applyFill="1" applyBorder="1" applyAlignment="1"/>
    <xf numFmtId="3" fontId="11" fillId="2" borderId="0" xfId="0" applyNumberFormat="1" applyFont="1" applyFill="1" applyBorder="1" applyAlignment="1"/>
    <xf numFmtId="49" fontId="9" fillId="2" borderId="22" xfId="0" applyNumberFormat="1" applyFont="1" applyFill="1" applyBorder="1" applyAlignment="1">
      <alignment horizontal="left" indent="1"/>
    </xf>
    <xf numFmtId="49" fontId="9" fillId="2" borderId="11" xfId="0" applyNumberFormat="1" applyFont="1" applyFill="1" applyBorder="1" applyAlignment="1">
      <alignment horizontal="left"/>
    </xf>
    <xf numFmtId="49" fontId="9" fillId="2" borderId="12" xfId="0" applyNumberFormat="1" applyFont="1" applyFill="1" applyBorder="1" applyAlignment="1">
      <alignment horizontal="center"/>
    </xf>
    <xf numFmtId="3" fontId="9" fillId="2" borderId="27" xfId="0" applyNumberFormat="1" applyFont="1" applyFill="1" applyBorder="1" applyAlignment="1"/>
    <xf numFmtId="0" fontId="7" fillId="2" borderId="12" xfId="0" applyFont="1" applyFill="1" applyBorder="1"/>
    <xf numFmtId="49" fontId="9" fillId="6" borderId="27" xfId="0" applyNumberFormat="1" applyFont="1" applyFill="1" applyBorder="1" applyAlignment="1">
      <alignment horizontal="left" wrapText="1" indent="3"/>
    </xf>
    <xf numFmtId="0" fontId="9" fillId="2" borderId="22" xfId="0" applyFont="1" applyFill="1" applyBorder="1" applyAlignment="1">
      <alignment horizontal="left" indent="3"/>
    </xf>
    <xf numFmtId="3" fontId="9" fillId="6" borderId="11" xfId="0" applyNumberFormat="1" applyFont="1" applyFill="1" applyBorder="1" applyAlignment="1">
      <alignment horizontal="right"/>
    </xf>
    <xf numFmtId="49" fontId="7" fillId="6" borderId="16" xfId="0" applyNumberFormat="1" applyFont="1" applyFill="1" applyBorder="1" applyAlignment="1">
      <alignment horizontal="left"/>
    </xf>
    <xf numFmtId="0" fontId="7" fillId="6" borderId="31" xfId="0" applyFont="1" applyFill="1" applyBorder="1" applyAlignment="1">
      <alignment horizontal="left"/>
    </xf>
    <xf numFmtId="49" fontId="7" fillId="6" borderId="18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/>
    <xf numFmtId="0" fontId="7" fillId="6" borderId="17" xfId="0" applyFont="1" applyFill="1" applyBorder="1"/>
    <xf numFmtId="49" fontId="8" fillId="6" borderId="32" xfId="0" applyNumberFormat="1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49" fontId="8" fillId="6" borderId="34" xfId="0" applyNumberFormat="1" applyFont="1" applyFill="1" applyBorder="1" applyAlignment="1">
      <alignment horizontal="center"/>
    </xf>
    <xf numFmtId="3" fontId="8" fillId="6" borderId="32" xfId="0" applyNumberFormat="1" applyFont="1" applyFill="1" applyBorder="1" applyAlignment="1"/>
    <xf numFmtId="0" fontId="8" fillId="6" borderId="35" xfId="0" applyFont="1" applyFill="1" applyBorder="1"/>
    <xf numFmtId="0" fontId="0" fillId="6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4" fillId="6" borderId="0" xfId="0" applyFont="1" applyFill="1"/>
    <xf numFmtId="0" fontId="0" fillId="6" borderId="0" xfId="0" applyFont="1" applyFill="1"/>
    <xf numFmtId="0" fontId="0" fillId="2" borderId="12" xfId="0" applyFont="1" applyFill="1" applyBorder="1"/>
    <xf numFmtId="0" fontId="9" fillId="6" borderId="27" xfId="0" applyFont="1" applyFill="1" applyBorder="1" applyAlignment="1">
      <alignment horizontal="left" indent="3"/>
    </xf>
    <xf numFmtId="1" fontId="0" fillId="2" borderId="0" xfId="0" applyNumberFormat="1" applyFont="1" applyFill="1"/>
    <xf numFmtId="3" fontId="9" fillId="6" borderId="11" xfId="0" applyNumberFormat="1" applyFont="1" applyFill="1" applyBorder="1" applyAlignment="1">
      <alignment horizontal="center"/>
    </xf>
    <xf numFmtId="1" fontId="0" fillId="6" borderId="12" xfId="0" applyNumberFormat="1" applyFont="1" applyFill="1" applyBorder="1"/>
    <xf numFmtId="49" fontId="0" fillId="2" borderId="16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>
      <alignment horizontal="left" indent="3"/>
    </xf>
    <xf numFmtId="49" fontId="9" fillId="2" borderId="16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/>
    <xf numFmtId="0" fontId="0" fillId="6" borderId="11" xfId="0" applyFont="1" applyFill="1" applyBorder="1"/>
    <xf numFmtId="49" fontId="9" fillId="2" borderId="22" xfId="0" applyNumberFormat="1" applyFont="1" applyFill="1" applyBorder="1" applyAlignment="1">
      <alignment horizontal="left" indent="3"/>
    </xf>
    <xf numFmtId="0" fontId="0" fillId="2" borderId="0" xfId="0" applyFont="1" applyFill="1" applyBorder="1"/>
    <xf numFmtId="49" fontId="0" fillId="2" borderId="1" xfId="0" applyNumberFormat="1" applyFont="1" applyFill="1" applyBorder="1" applyAlignment="1">
      <alignment horizontal="left" vertical="center"/>
    </xf>
    <xf numFmtId="49" fontId="9" fillId="2" borderId="22" xfId="0" applyNumberFormat="1" applyFont="1" applyFill="1" applyBorder="1" applyAlignment="1">
      <alignment horizontal="left" vertical="center" wrapText="1" indent="1"/>
    </xf>
    <xf numFmtId="49" fontId="9" fillId="2" borderId="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7" fillId="6" borderId="27" xfId="0" applyFont="1" applyFill="1" applyBorder="1" applyAlignment="1">
      <alignment horizontal="left" wrapText="1"/>
    </xf>
    <xf numFmtId="0" fontId="0" fillId="6" borderId="27" xfId="0" applyFont="1" applyFill="1" applyBorder="1" applyAlignment="1">
      <alignment horizontal="left" wrapText="1"/>
    </xf>
    <xf numFmtId="49" fontId="0" fillId="6" borderId="12" xfId="0" applyNumberFormat="1" applyFont="1" applyFill="1" applyBorder="1" applyAlignment="1">
      <alignment horizontal="center"/>
    </xf>
    <xf numFmtId="3" fontId="0" fillId="6" borderId="11" xfId="0" applyNumberFormat="1" applyFont="1" applyFill="1" applyBorder="1" applyAlignment="1"/>
    <xf numFmtId="0" fontId="9" fillId="2" borderId="12" xfId="0" applyFont="1" applyFill="1" applyBorder="1"/>
    <xf numFmtId="49" fontId="9" fillId="6" borderId="27" xfId="0" applyNumberFormat="1" applyFont="1" applyFill="1" applyBorder="1" applyAlignment="1">
      <alignment horizontal="left" indent="1"/>
    </xf>
    <xf numFmtId="0" fontId="9" fillId="6" borderId="27" xfId="0" applyFont="1" applyFill="1" applyBorder="1" applyAlignment="1">
      <alignment horizontal="left" indent="2"/>
    </xf>
    <xf numFmtId="49" fontId="9" fillId="2" borderId="22" xfId="0" applyNumberFormat="1" applyFont="1" applyFill="1" applyBorder="1" applyAlignment="1">
      <alignment horizontal="left" wrapText="1" indent="3"/>
    </xf>
    <xf numFmtId="3" fontId="4" fillId="2" borderId="1" xfId="0" applyNumberFormat="1" applyFont="1" applyFill="1" applyBorder="1" applyAlignment="1"/>
    <xf numFmtId="49" fontId="9" fillId="2" borderId="22" xfId="0" applyNumberFormat="1" applyFont="1" applyFill="1" applyBorder="1" applyAlignment="1">
      <alignment horizontal="left" indent="8"/>
    </xf>
    <xf numFmtId="49" fontId="8" fillId="6" borderId="1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" fontId="8" fillId="2" borderId="0" xfId="0" applyNumberFormat="1" applyFont="1" applyFill="1"/>
    <xf numFmtId="4" fontId="9" fillId="2" borderId="0" xfId="0" applyNumberFormat="1" applyFont="1" applyFill="1"/>
    <xf numFmtId="2" fontId="8" fillId="2" borderId="0" xfId="0" applyNumberFormat="1" applyFont="1" applyFill="1"/>
    <xf numFmtId="3" fontId="8" fillId="2" borderId="0" xfId="0" applyNumberFormat="1" applyFont="1" applyFill="1"/>
    <xf numFmtId="2" fontId="8" fillId="6" borderId="0" xfId="0" applyNumberFormat="1" applyFont="1" applyFill="1"/>
    <xf numFmtId="0" fontId="7" fillId="6" borderId="0" xfId="0" applyFont="1" applyFill="1"/>
    <xf numFmtId="49" fontId="8" fillId="2" borderId="0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7" borderId="1" xfId="0" applyNumberFormat="1" applyFont="1" applyFill="1" applyBorder="1" applyAlignment="1">
      <alignment horizontal="right"/>
    </xf>
    <xf numFmtId="0" fontId="11" fillId="2" borderId="36" xfId="0" applyFont="1" applyFill="1" applyBorder="1"/>
    <xf numFmtId="3" fontId="11" fillId="2" borderId="37" xfId="0" applyNumberFormat="1" applyFont="1" applyFill="1" applyBorder="1"/>
    <xf numFmtId="3" fontId="11" fillId="2" borderId="38" xfId="0" applyNumberFormat="1" applyFont="1" applyFill="1" applyBorder="1"/>
    <xf numFmtId="3" fontId="11" fillId="2" borderId="1" xfId="0" applyNumberFormat="1" applyFon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8" fillId="2" borderId="39" xfId="0" applyFont="1" applyFill="1" applyBorder="1"/>
    <xf numFmtId="3" fontId="11" fillId="2" borderId="29" xfId="0" applyNumberFormat="1" applyFont="1" applyFill="1" applyBorder="1"/>
    <xf numFmtId="3" fontId="11" fillId="2" borderId="40" xfId="0" applyNumberFormat="1" applyFont="1" applyFill="1" applyBorder="1"/>
    <xf numFmtId="1" fontId="4" fillId="2" borderId="0" xfId="0" applyNumberFormat="1" applyFont="1" applyFill="1"/>
    <xf numFmtId="3" fontId="11" fillId="2" borderId="0" xfId="0" applyNumberFormat="1" applyFont="1" applyFill="1"/>
    <xf numFmtId="49" fontId="7" fillId="6" borderId="1" xfId="0" applyNumberFormat="1" applyFont="1" applyFill="1" applyBorder="1" applyAlignment="1">
      <alignment horizontal="left"/>
    </xf>
    <xf numFmtId="0" fontId="7" fillId="6" borderId="22" xfId="0" applyFont="1" applyFill="1" applyBorder="1" applyAlignment="1">
      <alignment horizontal="left" wrapText="1"/>
    </xf>
    <xf numFmtId="49" fontId="7" fillId="6" borderId="0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/>
    <xf numFmtId="0" fontId="8" fillId="6" borderId="0" xfId="0" applyFont="1" applyFill="1"/>
    <xf numFmtId="3" fontId="7" fillId="2" borderId="0" xfId="0" applyNumberFormat="1" applyFont="1" applyFill="1" applyBorder="1" applyAlignment="1">
      <alignment horizontal="center"/>
    </xf>
    <xf numFmtId="3" fontId="9" fillId="2" borderId="36" xfId="0" applyNumberFormat="1" applyFont="1" applyFill="1" applyBorder="1"/>
    <xf numFmtId="0" fontId="9" fillId="2" borderId="37" xfId="0" applyFont="1" applyFill="1" applyBorder="1"/>
    <xf numFmtId="0" fontId="9" fillId="2" borderId="38" xfId="0" applyFont="1" applyFill="1" applyBorder="1"/>
    <xf numFmtId="3" fontId="4" fillId="3" borderId="25" xfId="0" applyNumberFormat="1" applyFont="1" applyFill="1" applyBorder="1" applyAlignment="1"/>
    <xf numFmtId="4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3" borderId="41" xfId="0" applyNumberFormat="1" applyFont="1" applyFill="1" applyBorder="1" applyAlignment="1">
      <alignment horizontal="center"/>
    </xf>
    <xf numFmtId="0" fontId="9" fillId="7" borderId="22" xfId="0" applyFont="1" applyFill="1" applyBorder="1" applyAlignment="1">
      <alignment horizontal="left" indent="1"/>
    </xf>
    <xf numFmtId="3" fontId="11" fillId="7" borderId="1" xfId="0" applyNumberFormat="1" applyFont="1" applyFill="1" applyBorder="1" applyAlignment="1">
      <alignment horizontal="right"/>
    </xf>
    <xf numFmtId="1" fontId="11" fillId="2" borderId="0" xfId="0" applyNumberFormat="1" applyFont="1" applyFill="1"/>
    <xf numFmtId="3" fontId="11" fillId="2" borderId="0" xfId="0" applyNumberFormat="1" applyFont="1" applyFill="1" applyAlignment="1">
      <alignment horizontal="center"/>
    </xf>
    <xf numFmtId="49" fontId="9" fillId="2" borderId="42" xfId="0" applyNumberFormat="1" applyFont="1" applyFill="1" applyBorder="1" applyAlignment="1">
      <alignment wrapText="1"/>
    </xf>
    <xf numFmtId="49" fontId="9" fillId="2" borderId="12" xfId="0" applyNumberFormat="1" applyFont="1" applyFill="1" applyBorder="1" applyAlignment="1">
      <alignment horizontal="left" wrapText="1" indent="1"/>
    </xf>
    <xf numFmtId="49" fontId="9" fillId="2" borderId="26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right"/>
    </xf>
    <xf numFmtId="3" fontId="9" fillId="2" borderId="27" xfId="0" applyNumberFormat="1" applyFont="1" applyFill="1" applyBorder="1" applyAlignment="1">
      <alignment horizontal="right"/>
    </xf>
    <xf numFmtId="4" fontId="11" fillId="2" borderId="0" xfId="0" applyNumberFormat="1" applyFont="1" applyFill="1"/>
    <xf numFmtId="3" fontId="0" fillId="8" borderId="11" xfId="0" applyNumberFormat="1" applyFont="1" applyFill="1" applyBorder="1" applyAlignment="1" applyProtection="1">
      <alignment horizontal="right" vertical="center"/>
      <protection locked="0"/>
    </xf>
    <xf numFmtId="49" fontId="1" fillId="2" borderId="5" xfId="0" applyNumberFormat="1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" fontId="0" fillId="2" borderId="43" xfId="0" applyNumberFormat="1" applyFont="1" applyFill="1" applyBorder="1"/>
    <xf numFmtId="49" fontId="4" fillId="9" borderId="44" xfId="0" applyNumberFormat="1" applyFont="1" applyFill="1" applyBorder="1" applyAlignment="1">
      <alignment horizontal="left"/>
    </xf>
    <xf numFmtId="0" fontId="4" fillId="9" borderId="45" xfId="0" applyFont="1" applyFill="1" applyBorder="1" applyAlignment="1">
      <alignment horizontal="left"/>
    </xf>
    <xf numFmtId="49" fontId="4" fillId="9" borderId="46" xfId="0" applyNumberFormat="1" applyFont="1" applyFill="1" applyBorder="1" applyAlignment="1">
      <alignment horizontal="center"/>
    </xf>
    <xf numFmtId="4" fontId="4" fillId="9" borderId="44" xfId="0" applyNumberFormat="1" applyFont="1" applyFill="1" applyBorder="1" applyAlignment="1">
      <alignment horizontal="right"/>
    </xf>
    <xf numFmtId="3" fontId="4" fillId="9" borderId="29" xfId="0" applyNumberFormat="1" applyFont="1" applyFill="1" applyBorder="1" applyAlignment="1">
      <alignment horizontal="right"/>
    </xf>
    <xf numFmtId="0" fontId="4" fillId="9" borderId="0" xfId="0" applyFont="1" applyFill="1"/>
    <xf numFmtId="4" fontId="6" fillId="2" borderId="1" xfId="0" applyNumberFormat="1" applyFont="1" applyFill="1" applyBorder="1" applyAlignment="1">
      <alignment horizontal="center"/>
    </xf>
    <xf numFmtId="49" fontId="7" fillId="10" borderId="11" xfId="0" applyNumberFormat="1" applyFont="1" applyFill="1" applyBorder="1" applyAlignment="1">
      <alignment horizontal="left"/>
    </xf>
    <xf numFmtId="0" fontId="7" fillId="10" borderId="27" xfId="0" applyFont="1" applyFill="1" applyBorder="1" applyAlignment="1">
      <alignment horizontal="left"/>
    </xf>
    <xf numFmtId="49" fontId="7" fillId="10" borderId="12" xfId="0" applyNumberFormat="1" applyFont="1" applyFill="1" applyBorder="1" applyAlignment="1">
      <alignment horizontal="center"/>
    </xf>
    <xf numFmtId="4" fontId="7" fillId="10" borderId="11" xfId="0" applyNumberFormat="1" applyFont="1" applyFill="1" applyBorder="1" applyAlignment="1"/>
    <xf numFmtId="4" fontId="12" fillId="2" borderId="1" xfId="0" applyNumberFormat="1" applyFont="1" applyFill="1" applyBorder="1" applyAlignment="1"/>
    <xf numFmtId="4" fontId="7" fillId="2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right" vertical="center"/>
      <protection locked="0"/>
    </xf>
    <xf numFmtId="4" fontId="7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/>
    <xf numFmtId="4" fontId="10" fillId="2" borderId="9" xfId="0" applyNumberFormat="1" applyFont="1" applyFill="1" applyBorder="1" applyAlignment="1">
      <alignment horizontal="right"/>
    </xf>
    <xf numFmtId="49" fontId="4" fillId="9" borderId="9" xfId="0" applyNumberFormat="1" applyFont="1" applyFill="1" applyBorder="1" applyAlignment="1">
      <alignment horizontal="left"/>
    </xf>
    <xf numFmtId="0" fontId="4" fillId="9" borderId="28" xfId="0" applyFont="1" applyFill="1" applyBorder="1" applyAlignment="1">
      <alignment horizontal="left"/>
    </xf>
    <xf numFmtId="49" fontId="4" fillId="9" borderId="29" xfId="0" applyNumberFormat="1" applyFont="1" applyFill="1" applyBorder="1" applyAlignment="1">
      <alignment horizontal="center"/>
    </xf>
    <xf numFmtId="4" fontId="4" fillId="9" borderId="23" xfId="0" applyNumberFormat="1" applyFont="1" applyFill="1" applyBorder="1" applyAlignment="1"/>
    <xf numFmtId="4" fontId="10" fillId="2" borderId="1" xfId="0" applyNumberFormat="1" applyFont="1" applyFill="1" applyBorder="1" applyAlignment="1">
      <alignment horizontal="right"/>
    </xf>
    <xf numFmtId="49" fontId="7" fillId="10" borderId="26" xfId="0" applyNumberFormat="1" applyFont="1" applyFill="1" applyBorder="1" applyAlignment="1">
      <alignment horizontal="center"/>
    </xf>
    <xf numFmtId="4" fontId="7" fillId="10" borderId="11" xfId="0" applyNumberFormat="1" applyFont="1" applyFill="1" applyBorder="1" applyAlignment="1">
      <alignment horizontal="right"/>
    </xf>
    <xf numFmtId="3" fontId="7" fillId="10" borderId="12" xfId="0" applyNumberFormat="1" applyFont="1" applyFill="1" applyBorder="1" applyAlignment="1">
      <alignment horizontal="right"/>
    </xf>
    <xf numFmtId="0" fontId="7" fillId="10" borderId="12" xfId="0" applyFont="1" applyFill="1" applyBorder="1"/>
    <xf numFmtId="49" fontId="9" fillId="10" borderId="11" xfId="0" applyNumberFormat="1" applyFont="1" applyFill="1" applyBorder="1" applyAlignment="1">
      <alignment horizontal="left"/>
    </xf>
    <xf numFmtId="0" fontId="9" fillId="10" borderId="27" xfId="0" applyFont="1" applyFill="1" applyBorder="1" applyAlignment="1">
      <alignment horizontal="left"/>
    </xf>
    <xf numFmtId="49" fontId="9" fillId="10" borderId="12" xfId="0" applyNumberFormat="1" applyFont="1" applyFill="1" applyBorder="1" applyAlignment="1">
      <alignment horizontal="center"/>
    </xf>
    <xf numFmtId="4" fontId="9" fillId="10" borderId="11" xfId="0" applyNumberFormat="1" applyFont="1" applyFill="1" applyBorder="1" applyAlignment="1"/>
    <xf numFmtId="3" fontId="9" fillId="10" borderId="27" xfId="0" applyNumberFormat="1" applyFont="1" applyFill="1" applyBorder="1" applyAlignment="1"/>
    <xf numFmtId="0" fontId="9" fillId="10" borderId="12" xfId="0" applyFont="1" applyFill="1" applyBorder="1"/>
    <xf numFmtId="0" fontId="9" fillId="10" borderId="27" xfId="0" applyFont="1" applyFill="1" applyBorder="1" applyAlignment="1">
      <alignment horizontal="left" indent="1"/>
    </xf>
    <xf numFmtId="49" fontId="0" fillId="10" borderId="11" xfId="0" applyNumberFormat="1" applyFont="1" applyFill="1" applyBorder="1" applyAlignment="1">
      <alignment horizontal="left"/>
    </xf>
    <xf numFmtId="49" fontId="9" fillId="10" borderId="27" xfId="0" applyNumberFormat="1" applyFont="1" applyFill="1" applyBorder="1" applyAlignment="1">
      <alignment horizontal="left" wrapText="1" indent="2"/>
    </xf>
    <xf numFmtId="0" fontId="0" fillId="10" borderId="12" xfId="0" applyFont="1" applyFill="1" applyBorder="1"/>
    <xf numFmtId="3" fontId="9" fillId="2" borderId="47" xfId="0" applyNumberFormat="1" applyFont="1" applyFill="1" applyBorder="1" applyAlignment="1"/>
    <xf numFmtId="49" fontId="9" fillId="10" borderId="27" xfId="0" applyNumberFormat="1" applyFont="1" applyFill="1" applyBorder="1" applyAlignment="1">
      <alignment horizontal="left" indent="2"/>
    </xf>
    <xf numFmtId="3" fontId="7" fillId="10" borderId="12" xfId="0" applyNumberFormat="1" applyFont="1" applyFill="1" applyBorder="1" applyAlignment="1"/>
    <xf numFmtId="49" fontId="9" fillId="10" borderId="27" xfId="0" applyNumberFormat="1" applyFont="1" applyFill="1" applyBorder="1" applyAlignment="1">
      <alignment horizontal="left" wrapText="1" indent="3"/>
    </xf>
    <xf numFmtId="4" fontId="9" fillId="10" borderId="11" xfId="0" applyNumberFormat="1" applyFont="1" applyFill="1" applyBorder="1" applyAlignment="1">
      <alignment horizontal="right"/>
    </xf>
    <xf numFmtId="3" fontId="9" fillId="10" borderId="27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/>
    <xf numFmtId="49" fontId="7" fillId="10" borderId="16" xfId="0" applyNumberFormat="1" applyFont="1" applyFill="1" applyBorder="1" applyAlignment="1">
      <alignment horizontal="left"/>
    </xf>
    <xf numFmtId="0" fontId="7" fillId="10" borderId="31" xfId="0" applyFont="1" applyFill="1" applyBorder="1" applyAlignment="1">
      <alignment horizontal="left"/>
    </xf>
    <xf numFmtId="49" fontId="7" fillId="10" borderId="18" xfId="0" applyNumberFormat="1" applyFont="1" applyFill="1" applyBorder="1" applyAlignment="1">
      <alignment horizontal="center"/>
    </xf>
    <xf numFmtId="4" fontId="7" fillId="10" borderId="16" xfId="0" applyNumberFormat="1" applyFont="1" applyFill="1" applyBorder="1" applyAlignment="1"/>
    <xf numFmtId="3" fontId="7" fillId="10" borderId="17" xfId="0" applyNumberFormat="1" applyFont="1" applyFill="1" applyBorder="1" applyAlignment="1"/>
    <xf numFmtId="0" fontId="7" fillId="10" borderId="17" xfId="0" applyFont="1" applyFill="1" applyBorder="1"/>
    <xf numFmtId="49" fontId="8" fillId="10" borderId="32" xfId="0" applyNumberFormat="1" applyFont="1" applyFill="1" applyBorder="1" applyAlignment="1">
      <alignment horizontal="left"/>
    </xf>
    <xf numFmtId="0" fontId="8" fillId="10" borderId="33" xfId="0" applyFont="1" applyFill="1" applyBorder="1" applyAlignment="1">
      <alignment horizontal="left"/>
    </xf>
    <xf numFmtId="49" fontId="8" fillId="10" borderId="34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/>
    <xf numFmtId="3" fontId="8" fillId="10" borderId="35" xfId="0" applyNumberFormat="1" applyFont="1" applyFill="1" applyBorder="1" applyAlignment="1"/>
    <xf numFmtId="0" fontId="8" fillId="10" borderId="35" xfId="0" applyFont="1" applyFill="1" applyBorder="1"/>
    <xf numFmtId="3" fontId="9" fillId="2" borderId="16" xfId="0" applyNumberFormat="1" applyFont="1" applyFill="1" applyBorder="1" applyAlignment="1">
      <alignment horizontal="right" indent="1"/>
    </xf>
    <xf numFmtId="3" fontId="9" fillId="2" borderId="22" xfId="0" applyNumberFormat="1" applyFont="1" applyFill="1" applyBorder="1" applyAlignment="1">
      <alignment horizontal="right" indent="1"/>
    </xf>
    <xf numFmtId="3" fontId="9" fillId="10" borderId="11" xfId="0" applyNumberFormat="1" applyFont="1" applyFill="1" applyBorder="1" applyAlignment="1">
      <alignment horizontal="right" indent="1"/>
    </xf>
    <xf numFmtId="3" fontId="9" fillId="10" borderId="27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right" indent="1"/>
    </xf>
    <xf numFmtId="0" fontId="7" fillId="10" borderId="27" xfId="0" applyFont="1" applyFill="1" applyBorder="1" applyAlignment="1">
      <alignment horizontal="left" wrapText="1"/>
    </xf>
    <xf numFmtId="3" fontId="7" fillId="10" borderId="27" xfId="0" applyNumberFormat="1" applyFont="1" applyFill="1" applyBorder="1" applyAlignment="1"/>
    <xf numFmtId="0" fontId="0" fillId="10" borderId="0" xfId="0" applyFont="1" applyFill="1"/>
    <xf numFmtId="0" fontId="0" fillId="10" borderId="27" xfId="0" applyFont="1" applyFill="1" applyBorder="1" applyAlignment="1">
      <alignment horizontal="left" wrapText="1"/>
    </xf>
    <xf numFmtId="49" fontId="0" fillId="10" borderId="12" xfId="0" applyNumberFormat="1" applyFont="1" applyFill="1" applyBorder="1" applyAlignment="1">
      <alignment horizontal="center"/>
    </xf>
    <xf numFmtId="4" fontId="0" fillId="10" borderId="11" xfId="0" applyNumberFormat="1" applyFont="1" applyFill="1" applyBorder="1" applyAlignment="1"/>
    <xf numFmtId="3" fontId="0" fillId="10" borderId="27" xfId="0" applyNumberFormat="1" applyFont="1" applyFill="1" applyBorder="1" applyAlignment="1"/>
    <xf numFmtId="3" fontId="9" fillId="10" borderId="12" xfId="0" applyNumberFormat="1" applyFont="1" applyFill="1" applyBorder="1" applyAlignment="1">
      <alignment horizontal="right"/>
    </xf>
    <xf numFmtId="0" fontId="9" fillId="10" borderId="0" xfId="0" applyFont="1" applyFill="1"/>
    <xf numFmtId="49" fontId="9" fillId="10" borderId="27" xfId="0" applyNumberFormat="1" applyFont="1" applyFill="1" applyBorder="1" applyAlignment="1">
      <alignment horizontal="left" indent="1"/>
    </xf>
    <xf numFmtId="0" fontId="9" fillId="10" borderId="27" xfId="0" applyFont="1" applyFill="1" applyBorder="1" applyAlignment="1">
      <alignment horizontal="left" indent="2"/>
    </xf>
    <xf numFmtId="49" fontId="8" fillId="10" borderId="1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center"/>
    </xf>
    <xf numFmtId="2" fontId="8" fillId="10" borderId="0" xfId="0" applyNumberFormat="1" applyFont="1" applyFill="1"/>
    <xf numFmtId="0" fontId="7" fillId="10" borderId="0" xfId="0" applyFont="1" applyFill="1"/>
    <xf numFmtId="4" fontId="8" fillId="2" borderId="1" xfId="0" applyNumberFormat="1" applyFont="1" applyFill="1" applyBorder="1" applyAlignment="1">
      <alignment horizontal="right"/>
    </xf>
    <xf numFmtId="49" fontId="7" fillId="10" borderId="1" xfId="0" applyNumberFormat="1" applyFont="1" applyFill="1" applyBorder="1" applyAlignment="1">
      <alignment horizontal="left"/>
    </xf>
    <xf numFmtId="0" fontId="7" fillId="10" borderId="22" xfId="0" applyFont="1" applyFill="1" applyBorder="1" applyAlignment="1">
      <alignment horizontal="left" wrapText="1"/>
    </xf>
    <xf numFmtId="49" fontId="7" fillId="10" borderId="0" xfId="0" applyNumberFormat="1" applyFont="1" applyFill="1" applyBorder="1" applyAlignment="1">
      <alignment horizontal="center"/>
    </xf>
    <xf numFmtId="4" fontId="7" fillId="10" borderId="1" xfId="0" applyNumberFormat="1" applyFont="1" applyFill="1" applyBorder="1" applyAlignment="1"/>
    <xf numFmtId="3" fontId="7" fillId="10" borderId="0" xfId="0" applyNumberFormat="1" applyFont="1" applyFill="1" applyBorder="1" applyAlignment="1"/>
    <xf numFmtId="0" fontId="8" fillId="10" borderId="0" xfId="0" applyFont="1" applyFill="1"/>
    <xf numFmtId="3" fontId="9" fillId="10" borderId="0" xfId="0" applyNumberFormat="1" applyFont="1" applyFill="1"/>
    <xf numFmtId="49" fontId="7" fillId="2" borderId="5" xfId="0" applyNumberFormat="1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left"/>
    </xf>
    <xf numFmtId="4" fontId="4" fillId="3" borderId="4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49" fontId="9" fillId="2" borderId="15" xfId="0" applyNumberFormat="1" applyFont="1" applyFill="1" applyBorder="1" applyAlignment="1">
      <alignment wrapText="1"/>
    </xf>
    <xf numFmtId="49" fontId="9" fillId="2" borderId="12" xfId="0" applyNumberFormat="1" applyFont="1" applyFill="1" applyBorder="1" applyAlignment="1">
      <alignment wrapText="1"/>
    </xf>
    <xf numFmtId="3" fontId="9" fillId="2" borderId="11" xfId="0" applyNumberFormat="1" applyFont="1" applyFill="1" applyBorder="1" applyAlignment="1">
      <alignment horizontal="right" wrapText="1"/>
    </xf>
    <xf numFmtId="3" fontId="9" fillId="2" borderId="27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49" fontId="9" fillId="2" borderId="0" xfId="0" applyNumberFormat="1" applyFont="1" applyFill="1" applyBorder="1" applyAlignment="1">
      <alignment horizontal="left"/>
    </xf>
    <xf numFmtId="49" fontId="9" fillId="2" borderId="48" xfId="0" applyNumberFormat="1" applyFont="1" applyFill="1" applyBorder="1" applyAlignment="1">
      <alignment horizontal="left"/>
    </xf>
    <xf numFmtId="4" fontId="0" fillId="2" borderId="48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center" vertical="center" wrapText="1"/>
    </xf>
    <xf numFmtId="1" fontId="5" fillId="2" borderId="49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49" fontId="9" fillId="10" borderId="42" xfId="0" applyNumberFormat="1" applyFont="1" applyFill="1" applyBorder="1" applyAlignment="1">
      <alignment wrapText="1"/>
    </xf>
    <xf numFmtId="49" fontId="9" fillId="10" borderId="15" xfId="0" applyNumberFormat="1" applyFont="1" applyFill="1" applyBorder="1" applyAlignment="1">
      <alignment wrapText="1"/>
    </xf>
    <xf numFmtId="49" fontId="9" fillId="10" borderId="12" xfId="0" applyNumberFormat="1" applyFont="1" applyFill="1" applyBorder="1" applyAlignment="1">
      <alignment wrapText="1"/>
    </xf>
    <xf numFmtId="4" fontId="0" fillId="10" borderId="11" xfId="0" applyNumberFormat="1" applyFont="1" applyFill="1" applyBorder="1" applyAlignment="1">
      <alignment horizontal="right" wrapText="1"/>
    </xf>
    <xf numFmtId="4" fontId="0" fillId="2" borderId="11" xfId="0" applyNumberFormat="1" applyFont="1" applyFill="1" applyBorder="1" applyAlignment="1">
      <alignment horizontal="right" wrapText="1"/>
    </xf>
    <xf numFmtId="49" fontId="9" fillId="2" borderId="50" xfId="0" applyNumberFormat="1" applyFont="1" applyFill="1" applyBorder="1" applyAlignment="1">
      <alignment wrapText="1"/>
    </xf>
    <xf numFmtId="49" fontId="9" fillId="2" borderId="51" xfId="0" applyNumberFormat="1" applyFont="1" applyFill="1" applyBorder="1" applyAlignment="1">
      <alignment wrapText="1"/>
    </xf>
    <xf numFmtId="49" fontId="9" fillId="2" borderId="52" xfId="0" applyNumberFormat="1" applyFont="1" applyFill="1" applyBorder="1" applyAlignment="1">
      <alignment wrapText="1"/>
    </xf>
    <xf numFmtId="4" fontId="0" fillId="2" borderId="53" xfId="0" applyNumberFormat="1" applyFont="1" applyFill="1" applyBorder="1" applyAlignment="1">
      <alignment vertical="center"/>
    </xf>
    <xf numFmtId="4" fontId="4" fillId="2" borderId="48" xfId="0" applyNumberFormat="1" applyFont="1" applyFill="1" applyBorder="1"/>
    <xf numFmtId="3" fontId="4" fillId="2" borderId="0" xfId="0" applyNumberFormat="1" applyFont="1" applyFill="1"/>
    <xf numFmtId="4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indent="15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0" fontId="17" fillId="2" borderId="47" xfId="0" applyFont="1" applyFill="1" applyBorder="1"/>
    <xf numFmtId="0" fontId="17" fillId="2" borderId="0" xfId="0" applyFont="1" applyFill="1" applyBorder="1"/>
    <xf numFmtId="0" fontId="17" fillId="0" borderId="0" xfId="0" applyFont="1" applyBorder="1"/>
    <xf numFmtId="49" fontId="15" fillId="0" borderId="0" xfId="0" applyNumberFormat="1" applyFont="1"/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Border="1"/>
    <xf numFmtId="0" fontId="15" fillId="0" borderId="0" xfId="0" applyFont="1" applyAlignment="1">
      <alignment wrapText="1"/>
    </xf>
    <xf numFmtId="0" fontId="17" fillId="0" borderId="0" xfId="0" applyFont="1" applyAlignment="1">
      <alignment horizontal="left" vertical="top" indent="8"/>
    </xf>
    <xf numFmtId="0" fontId="15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6" fillId="2" borderId="21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2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9" fontId="16" fillId="2" borderId="22" xfId="0" applyNumberFormat="1" applyFont="1" applyFill="1" applyBorder="1" applyAlignment="1">
      <alignment horizontal="center" vertic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1" fontId="16" fillId="2" borderId="44" xfId="0" applyNumberFormat="1" applyFont="1" applyFill="1" applyBorder="1" applyAlignment="1">
      <alignment horizontal="center" vertical="center" wrapText="1"/>
    </xf>
    <xf numFmtId="3" fontId="17" fillId="7" borderId="24" xfId="0" applyNumberFormat="1" applyFont="1" applyFill="1" applyBorder="1" applyAlignment="1"/>
    <xf numFmtId="0" fontId="17" fillId="7" borderId="0" xfId="0" applyFont="1" applyFill="1" applyBorder="1"/>
    <xf numFmtId="3" fontId="17" fillId="7" borderId="0" xfId="0" applyNumberFormat="1" applyFont="1" applyFill="1" applyBorder="1"/>
    <xf numFmtId="0" fontId="17" fillId="7" borderId="0" xfId="0" applyFont="1" applyFill="1"/>
    <xf numFmtId="3" fontId="17" fillId="7" borderId="22" xfId="0" applyNumberFormat="1" applyFont="1" applyFill="1" applyBorder="1" applyAlignment="1"/>
    <xf numFmtId="3" fontId="17" fillId="7" borderId="28" xfId="0" applyNumberFormat="1" applyFont="1" applyFill="1" applyBorder="1" applyAlignment="1"/>
    <xf numFmtId="49" fontId="17" fillId="0" borderId="1" xfId="0" applyNumberFormat="1" applyFont="1" applyBorder="1" applyAlignment="1">
      <alignment horizontal="left"/>
    </xf>
    <xf numFmtId="3" fontId="17" fillId="0" borderId="1" xfId="0" applyNumberFormat="1" applyFont="1" applyBorder="1" applyAlignment="1">
      <alignment horizontal="center"/>
    </xf>
    <xf numFmtId="0" fontId="19" fillId="2" borderId="0" xfId="0" applyFont="1" applyFill="1" applyBorder="1"/>
    <xf numFmtId="3" fontId="19" fillId="2" borderId="0" xfId="0" applyNumberFormat="1" applyFont="1" applyFill="1" applyBorder="1"/>
    <xf numFmtId="0" fontId="19" fillId="0" borderId="0" xfId="0" applyFont="1" applyBorder="1"/>
    <xf numFmtId="0" fontId="19" fillId="0" borderId="0" xfId="0" applyFont="1"/>
    <xf numFmtId="0" fontId="17" fillId="2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3" fontId="19" fillId="2" borderId="1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wrapText="1"/>
    </xf>
    <xf numFmtId="49" fontId="17" fillId="2" borderId="0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20" fillId="0" borderId="0" xfId="0" applyFont="1" applyBorder="1"/>
    <xf numFmtId="0" fontId="20" fillId="0" borderId="0" xfId="0" applyFont="1"/>
    <xf numFmtId="3" fontId="17" fillId="0" borderId="1" xfId="0" applyNumberFormat="1" applyFont="1" applyFill="1" applyBorder="1" applyAlignment="1"/>
    <xf numFmtId="49" fontId="18" fillId="0" borderId="9" xfId="0" applyNumberFormat="1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2" borderId="0" xfId="0" applyFont="1" applyFill="1" applyBorder="1"/>
    <xf numFmtId="0" fontId="18" fillId="0" borderId="0" xfId="0" applyFont="1" applyBorder="1"/>
    <xf numFmtId="0" fontId="18" fillId="0" borderId="0" xfId="0" applyFont="1"/>
    <xf numFmtId="0" fontId="21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left"/>
    </xf>
    <xf numFmtId="49" fontId="17" fillId="7" borderId="24" xfId="0" applyNumberFormat="1" applyFont="1" applyFill="1" applyBorder="1" applyAlignment="1">
      <alignment horizontal="center"/>
    </xf>
    <xf numFmtId="3" fontId="17" fillId="7" borderId="23" xfId="0" applyNumberFormat="1" applyFont="1" applyFill="1" applyBorder="1" applyAlignment="1"/>
    <xf numFmtId="49" fontId="19" fillId="0" borderId="1" xfId="0" applyNumberFormat="1" applyFont="1" applyFill="1" applyBorder="1" applyAlignment="1">
      <alignment horizontal="left"/>
    </xf>
    <xf numFmtId="49" fontId="19" fillId="0" borderId="22" xfId="0" applyNumberFormat="1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49" fontId="16" fillId="0" borderId="9" xfId="0" applyNumberFormat="1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7" fillId="7" borderId="28" xfId="0" applyFont="1" applyFill="1" applyBorder="1" applyAlignment="1">
      <alignment horizontal="left"/>
    </xf>
    <xf numFmtId="49" fontId="17" fillId="7" borderId="28" xfId="0" applyNumberFormat="1" applyFont="1" applyFill="1" applyBorder="1" applyAlignment="1">
      <alignment horizontal="center"/>
    </xf>
    <xf numFmtId="3" fontId="17" fillId="7" borderId="9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left"/>
    </xf>
    <xf numFmtId="49" fontId="18" fillId="0" borderId="22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19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wrapText="1"/>
    </xf>
    <xf numFmtId="49" fontId="17" fillId="0" borderId="22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49" fontId="19" fillId="0" borderId="22" xfId="0" applyNumberFormat="1" applyFont="1" applyBorder="1" applyAlignment="1">
      <alignment horizontal="left" indent="2"/>
    </xf>
    <xf numFmtId="3" fontId="17" fillId="0" borderId="1" xfId="0" applyNumberFormat="1" applyFont="1" applyFill="1" applyBorder="1" applyAlignment="1">
      <alignment horizontal="right" vertical="center"/>
    </xf>
    <xf numFmtId="0" fontId="16" fillId="2" borderId="0" xfId="0" applyFont="1" applyFill="1" applyBorder="1"/>
    <xf numFmtId="0" fontId="16" fillId="0" borderId="0" xfId="0" applyFont="1" applyBorder="1"/>
    <xf numFmtId="49" fontId="17" fillId="0" borderId="22" xfId="0" applyNumberFormat="1" applyFont="1" applyFill="1" applyBorder="1" applyAlignment="1">
      <alignment horizontal="left"/>
    </xf>
    <xf numFmtId="0" fontId="18" fillId="0" borderId="28" xfId="0" applyFont="1" applyBorder="1" applyAlignment="1">
      <alignment horizontal="left"/>
    </xf>
    <xf numFmtId="3" fontId="17" fillId="7" borderId="9" xfId="0" applyNumberFormat="1" applyFont="1" applyFill="1" applyBorder="1" applyAlignment="1"/>
    <xf numFmtId="0" fontId="18" fillId="0" borderId="22" xfId="0" applyFont="1" applyBorder="1" applyAlignment="1">
      <alignment horizontal="left"/>
    </xf>
    <xf numFmtId="49" fontId="18" fillId="0" borderId="22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0" fontId="17" fillId="0" borderId="22" xfId="0" applyFont="1" applyBorder="1" applyAlignment="1">
      <alignment horizontal="left"/>
    </xf>
    <xf numFmtId="0" fontId="17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horizontal="left" indent="1"/>
    </xf>
    <xf numFmtId="49" fontId="19" fillId="0" borderId="22" xfId="0" applyNumberFormat="1" applyFont="1" applyBorder="1" applyAlignment="1">
      <alignment horizontal="left" indent="5"/>
    </xf>
    <xf numFmtId="49" fontId="19" fillId="0" borderId="22" xfId="0" applyNumberFormat="1" applyFont="1" applyBorder="1" applyAlignment="1">
      <alignment vertical="center" wrapText="1"/>
    </xf>
    <xf numFmtId="49" fontId="19" fillId="0" borderId="22" xfId="0" applyNumberFormat="1" applyFont="1" applyBorder="1" applyAlignment="1">
      <alignment horizontal="left" wrapText="1" indent="2"/>
    </xf>
    <xf numFmtId="49" fontId="19" fillId="0" borderId="22" xfId="0" applyNumberFormat="1" applyFont="1" applyBorder="1" applyAlignment="1">
      <alignment horizontal="left" wrapText="1" indent="5"/>
    </xf>
    <xf numFmtId="49" fontId="19" fillId="0" borderId="22" xfId="0" applyNumberFormat="1" applyFont="1" applyBorder="1" applyAlignment="1">
      <alignment horizontal="left" indent="1"/>
    </xf>
    <xf numFmtId="49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indent="3"/>
    </xf>
    <xf numFmtId="49" fontId="17" fillId="0" borderId="22" xfId="0" applyNumberFormat="1" applyFont="1" applyBorder="1" applyAlignment="1">
      <alignment horizontal="left"/>
    </xf>
    <xf numFmtId="49" fontId="19" fillId="0" borderId="22" xfId="0" applyNumberFormat="1" applyFont="1" applyBorder="1" applyAlignment="1">
      <alignment horizontal="left" vertical="center" inden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22" xfId="0" applyFont="1" applyBorder="1" applyAlignment="1">
      <alignment horizontal="left" indent="2"/>
    </xf>
    <xf numFmtId="0" fontId="19" fillId="0" borderId="22" xfId="0" applyFont="1" applyBorder="1" applyAlignment="1">
      <alignment horizontal="left" indent="4"/>
    </xf>
    <xf numFmtId="49" fontId="19" fillId="0" borderId="22" xfId="0" applyNumberFormat="1" applyFont="1" applyBorder="1" applyAlignment="1">
      <alignment horizontal="left" indent="3"/>
    </xf>
    <xf numFmtId="49" fontId="19" fillId="0" borderId="22" xfId="0" applyNumberFormat="1" applyFont="1" applyBorder="1" applyAlignment="1">
      <alignment horizontal="left" indent="4"/>
    </xf>
    <xf numFmtId="49" fontId="17" fillId="2" borderId="22" xfId="0" applyNumberFormat="1" applyFont="1" applyFill="1" applyBorder="1" applyAlignment="1">
      <alignment horizontal="left" wrapText="1"/>
    </xf>
    <xf numFmtId="0" fontId="22" fillId="2" borderId="0" xfId="0" applyFont="1" applyFill="1" applyBorder="1"/>
    <xf numFmtId="49" fontId="19" fillId="0" borderId="22" xfId="0" applyNumberFormat="1" applyFont="1" applyBorder="1" applyAlignment="1">
      <alignment horizontal="left" wrapText="1" indent="3"/>
    </xf>
    <xf numFmtId="0" fontId="23" fillId="2" borderId="0" xfId="0" applyFont="1" applyFill="1" applyBorder="1"/>
    <xf numFmtId="49" fontId="17" fillId="0" borderId="22" xfId="0" applyNumberFormat="1" applyFont="1" applyBorder="1" applyAlignment="1">
      <alignment horizontal="center"/>
    </xf>
    <xf numFmtId="3" fontId="22" fillId="2" borderId="0" xfId="0" applyNumberFormat="1" applyFont="1" applyFill="1" applyBorder="1"/>
    <xf numFmtId="3" fontId="17" fillId="0" borderId="1" xfId="0" applyNumberFormat="1" applyFont="1" applyBorder="1" applyAlignment="1"/>
    <xf numFmtId="3" fontId="17" fillId="0" borderId="22" xfId="0" applyNumberFormat="1" applyFont="1" applyBorder="1" applyAlignment="1"/>
    <xf numFmtId="3" fontId="24" fillId="0" borderId="1" xfId="0" applyNumberFormat="1" applyFont="1" applyBorder="1" applyAlignment="1"/>
    <xf numFmtId="3" fontId="24" fillId="0" borderId="22" xfId="0" applyNumberFormat="1" applyFont="1" applyBorder="1" applyAlignment="1"/>
    <xf numFmtId="49" fontId="16" fillId="0" borderId="5" xfId="0" applyNumberFormat="1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49" fontId="16" fillId="0" borderId="21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3" fontId="17" fillId="2" borderId="0" xfId="0" applyNumberFormat="1" applyFont="1" applyFill="1"/>
    <xf numFmtId="1" fontId="17" fillId="0" borderId="4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49" fontId="25" fillId="11" borderId="9" xfId="0" applyNumberFormat="1" applyFont="1" applyFill="1" applyBorder="1" applyAlignment="1">
      <alignment horizontal="left"/>
    </xf>
    <xf numFmtId="0" fontId="25" fillId="11" borderId="28" xfId="0" applyFont="1" applyFill="1" applyBorder="1" applyAlignment="1">
      <alignment horizontal="left"/>
    </xf>
    <xf numFmtId="49" fontId="25" fillId="11" borderId="28" xfId="0" applyNumberFormat="1" applyFont="1" applyFill="1" applyBorder="1" applyAlignment="1">
      <alignment horizontal="center"/>
    </xf>
    <xf numFmtId="3" fontId="25" fillId="11" borderId="9" xfId="0" applyNumberFormat="1" applyFont="1" applyFill="1" applyBorder="1" applyAlignment="1">
      <alignment horizontal="right"/>
    </xf>
    <xf numFmtId="0" fontId="25" fillId="11" borderId="0" xfId="0" applyFont="1" applyFill="1" applyBorder="1"/>
    <xf numFmtId="0" fontId="25" fillId="11" borderId="0" xfId="0" applyFont="1" applyFill="1"/>
    <xf numFmtId="49" fontId="26" fillId="0" borderId="1" xfId="0" applyNumberFormat="1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49" fontId="26" fillId="0" borderId="22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/>
    </xf>
    <xf numFmtId="3" fontId="26" fillId="0" borderId="22" xfId="0" applyNumberFormat="1" applyFont="1" applyFill="1" applyBorder="1" applyAlignment="1">
      <alignment horizontal="center"/>
    </xf>
    <xf numFmtId="0" fontId="26" fillId="2" borderId="0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49" fontId="25" fillId="2" borderId="1" xfId="0" applyNumberFormat="1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49" fontId="20" fillId="2" borderId="22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right"/>
    </xf>
    <xf numFmtId="0" fontId="25" fillId="2" borderId="0" xfId="0" applyFont="1" applyFill="1" applyBorder="1"/>
    <xf numFmtId="0" fontId="25" fillId="2" borderId="0" xfId="0" applyFont="1" applyFill="1"/>
    <xf numFmtId="49" fontId="25" fillId="2" borderId="1" xfId="0" applyNumberFormat="1" applyFont="1" applyFill="1" applyBorder="1" applyAlignment="1">
      <alignment horizontal="left" vertical="top"/>
    </xf>
    <xf numFmtId="0" fontId="20" fillId="2" borderId="22" xfId="0" applyFont="1" applyFill="1" applyBorder="1" applyAlignment="1">
      <alignment horizontal="left" wrapText="1"/>
    </xf>
    <xf numFmtId="0" fontId="20" fillId="2" borderId="22" xfId="0" applyFont="1" applyFill="1" applyBorder="1" applyAlignment="1">
      <alignment horizontal="left"/>
    </xf>
    <xf numFmtId="49" fontId="25" fillId="2" borderId="1" xfId="0" applyNumberFormat="1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/>
    </xf>
    <xf numFmtId="0" fontId="25" fillId="2" borderId="22" xfId="0" applyFont="1" applyFill="1" applyBorder="1" applyAlignment="1">
      <alignment horizontal="left" wrapText="1"/>
    </xf>
    <xf numFmtId="49" fontId="25" fillId="2" borderId="22" xfId="0" applyNumberFormat="1" applyFont="1" applyFill="1" applyBorder="1" applyAlignment="1">
      <alignment horizontal="center"/>
    </xf>
    <xf numFmtId="3" fontId="20" fillId="7" borderId="1" xfId="0" applyNumberFormat="1" applyFont="1" applyFill="1" applyBorder="1" applyAlignment="1">
      <alignment horizontal="right"/>
    </xf>
    <xf numFmtId="49" fontId="20" fillId="2" borderId="1" xfId="0" applyNumberFormat="1" applyFont="1" applyFill="1" applyBorder="1" applyAlignment="1">
      <alignment horizontal="left"/>
    </xf>
    <xf numFmtId="49" fontId="20" fillId="2" borderId="22" xfId="0" applyNumberFormat="1" applyFont="1" applyFill="1" applyBorder="1" applyAlignment="1">
      <alignment horizontal="left" indent="2"/>
    </xf>
    <xf numFmtId="0" fontId="27" fillId="2" borderId="0" xfId="0" applyFont="1" applyFill="1" applyBorder="1"/>
    <xf numFmtId="49" fontId="26" fillId="2" borderId="9" xfId="0" applyNumberFormat="1" applyFont="1" applyFill="1" applyBorder="1" applyAlignment="1">
      <alignment horizontal="left"/>
    </xf>
    <xf numFmtId="0" fontId="26" fillId="2" borderId="28" xfId="0" applyFont="1" applyFill="1" applyBorder="1" applyAlignment="1">
      <alignment horizontal="left"/>
    </xf>
    <xf numFmtId="49" fontId="26" fillId="2" borderId="28" xfId="0" applyNumberFormat="1" applyFont="1" applyFill="1" applyBorder="1" applyAlignment="1">
      <alignment horizontal="center"/>
    </xf>
    <xf numFmtId="3" fontId="26" fillId="2" borderId="9" xfId="0" applyNumberFormat="1" applyFont="1" applyFill="1" applyBorder="1" applyAlignment="1">
      <alignment horizontal="right"/>
    </xf>
    <xf numFmtId="49" fontId="26" fillId="2" borderId="1" xfId="0" applyNumberFormat="1" applyFont="1" applyFill="1" applyBorder="1" applyAlignment="1">
      <alignment horizontal="left"/>
    </xf>
    <xf numFmtId="0" fontId="26" fillId="2" borderId="22" xfId="0" applyFont="1" applyFill="1" applyBorder="1" applyAlignment="1">
      <alignment horizontal="left"/>
    </xf>
    <xf numFmtId="49" fontId="26" fillId="2" borderId="22" xfId="0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right"/>
    </xf>
    <xf numFmtId="0" fontId="26" fillId="2" borderId="0" xfId="0" applyFont="1" applyFill="1"/>
    <xf numFmtId="0" fontId="20" fillId="2" borderId="0" xfId="0" applyFont="1" applyFill="1"/>
    <xf numFmtId="49" fontId="20" fillId="0" borderId="22" xfId="0" applyNumberFormat="1" applyFont="1" applyBorder="1" applyAlignment="1">
      <alignment horizontal="center"/>
    </xf>
    <xf numFmtId="0" fontId="25" fillId="7" borderId="22" xfId="0" applyFont="1" applyFill="1" applyBorder="1" applyAlignment="1">
      <alignment horizontal="left" wrapText="1"/>
    </xf>
    <xf numFmtId="3" fontId="20" fillId="0" borderId="1" xfId="0" applyNumberFormat="1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/>
    <xf numFmtId="2" fontId="28" fillId="2" borderId="0" xfId="0" applyNumberFormat="1" applyFont="1" applyFill="1" applyBorder="1"/>
    <xf numFmtId="0" fontId="7" fillId="2" borderId="0" xfId="0" applyFont="1" applyFill="1" applyBorder="1"/>
    <xf numFmtId="0" fontId="7" fillId="10" borderId="0" xfId="0" applyFont="1" applyFill="1" applyBorder="1"/>
    <xf numFmtId="49" fontId="25" fillId="2" borderId="22" xfId="0" applyNumberFormat="1" applyFont="1" applyFill="1" applyBorder="1" applyAlignment="1">
      <alignment horizontal="left" wrapText="1"/>
    </xf>
    <xf numFmtId="0" fontId="12" fillId="2" borderId="0" xfId="0" applyFont="1" applyFill="1" applyBorder="1"/>
    <xf numFmtId="0" fontId="12" fillId="2" borderId="0" xfId="0" applyFont="1" applyFill="1"/>
    <xf numFmtId="0" fontId="12" fillId="2" borderId="0" xfId="0" applyFont="1" applyFill="1" applyBorder="1" applyAlignment="1">
      <alignment vertical="center"/>
    </xf>
    <xf numFmtId="0" fontId="29" fillId="2" borderId="0" xfId="0" applyFont="1" applyFill="1" applyBorder="1"/>
    <xf numFmtId="3" fontId="29" fillId="2" borderId="0" xfId="0" applyNumberFormat="1" applyFont="1" applyFill="1" applyBorder="1"/>
    <xf numFmtId="1" fontId="29" fillId="2" borderId="0" xfId="0" applyNumberFormat="1" applyFont="1" applyFill="1" applyBorder="1"/>
    <xf numFmtId="1" fontId="12" fillId="2" borderId="0" xfId="0" applyNumberFormat="1" applyFont="1" applyFill="1" applyBorder="1"/>
    <xf numFmtId="0" fontId="12" fillId="6" borderId="0" xfId="0" applyFont="1" applyFill="1" applyBorder="1"/>
    <xf numFmtId="0" fontId="12" fillId="6" borderId="27" xfId="0" applyFont="1" applyFill="1" applyBorder="1"/>
    <xf numFmtId="0" fontId="12" fillId="6" borderId="11" xfId="0" applyFont="1" applyFill="1" applyBorder="1"/>
    <xf numFmtId="49" fontId="25" fillId="2" borderId="5" xfId="0" applyNumberFormat="1" applyFont="1" applyFill="1" applyBorder="1" applyAlignment="1">
      <alignment horizontal="left"/>
    </xf>
    <xf numFmtId="0" fontId="25" fillId="2" borderId="21" xfId="0" applyFont="1" applyFill="1" applyBorder="1" applyAlignment="1">
      <alignment horizontal="left" wrapText="1"/>
    </xf>
    <xf numFmtId="49" fontId="20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3" fontId="20" fillId="2" borderId="5" xfId="0" applyNumberFormat="1" applyFont="1" applyFill="1" applyBorder="1" applyAlignment="1">
      <alignment horizontal="right"/>
    </xf>
    <xf numFmtId="0" fontId="20" fillId="2" borderId="2" xfId="0" applyFont="1" applyFill="1" applyBorder="1"/>
    <xf numFmtId="49" fontId="25" fillId="0" borderId="1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49" fontId="25" fillId="0" borderId="22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 wrapText="1"/>
    </xf>
    <xf numFmtId="49" fontId="25" fillId="0" borderId="21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30" fillId="2" borderId="0" xfId="0" applyNumberFormat="1" applyFont="1" applyFill="1" applyAlignment="1">
      <alignment horizontal="center"/>
    </xf>
    <xf numFmtId="3" fontId="17" fillId="7" borderId="43" xfId="0" applyNumberFormat="1" applyFont="1" applyFill="1" applyBorder="1" applyAlignment="1"/>
    <xf numFmtId="3" fontId="17" fillId="7" borderId="5" xfId="0" applyNumberFormat="1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17" fillId="0" borderId="54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0" fontId="16" fillId="0" borderId="0" xfId="0" applyFont="1" applyFill="1" applyBorder="1"/>
    <xf numFmtId="0" fontId="17" fillId="0" borderId="47" xfId="0" applyFont="1" applyFill="1" applyBorder="1" applyAlignment="1">
      <alignment horizontal="left" wrapText="1"/>
    </xf>
    <xf numFmtId="49" fontId="19" fillId="0" borderId="5" xfId="0" applyNumberFormat="1" applyFont="1" applyFill="1" applyBorder="1" applyAlignment="1">
      <alignment horizontal="left"/>
    </xf>
    <xf numFmtId="0" fontId="17" fillId="0" borderId="55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3" fontId="17" fillId="0" borderId="5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horizontal="left"/>
    </xf>
    <xf numFmtId="0" fontId="16" fillId="0" borderId="55" xfId="0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center"/>
    </xf>
    <xf numFmtId="0" fontId="17" fillId="0" borderId="5" xfId="0" applyFont="1" applyFill="1" applyBorder="1"/>
    <xf numFmtId="0" fontId="17" fillId="0" borderId="55" xfId="0" applyFont="1" applyFill="1" applyBorder="1"/>
    <xf numFmtId="0" fontId="17" fillId="0" borderId="2" xfId="0" applyFont="1" applyFill="1" applyBorder="1"/>
    <xf numFmtId="49" fontId="15" fillId="0" borderId="6" xfId="0" applyNumberFormat="1" applyFont="1" applyFill="1" applyBorder="1" applyAlignment="1">
      <alignment horizontal="left"/>
    </xf>
    <xf numFmtId="3" fontId="17" fillId="11" borderId="43" xfId="0" applyNumberFormat="1" applyFont="1" applyFill="1" applyBorder="1" applyAlignment="1"/>
    <xf numFmtId="0" fontId="17" fillId="11" borderId="0" xfId="0" applyFont="1" applyFill="1" applyBorder="1"/>
    <xf numFmtId="0" fontId="17" fillId="11" borderId="0" xfId="0" applyFont="1" applyFill="1"/>
    <xf numFmtId="3" fontId="17" fillId="11" borderId="5" xfId="0" applyNumberFormat="1" applyFont="1" applyFill="1" applyBorder="1" applyAlignment="1"/>
    <xf numFmtId="0" fontId="17" fillId="11" borderId="2" xfId="0" applyFont="1" applyFill="1" applyBorder="1"/>
    <xf numFmtId="0" fontId="17" fillId="0" borderId="0" xfId="0" applyFont="1" applyFill="1" applyBorder="1" applyAlignment="1">
      <alignment horizontal="left" wrapText="1"/>
    </xf>
    <xf numFmtId="3" fontId="17" fillId="2" borderId="1" xfId="0" applyNumberFormat="1" applyFont="1" applyFill="1" applyBorder="1" applyAlignment="1">
      <alignment vertical="center"/>
    </xf>
    <xf numFmtId="3" fontId="17" fillId="2" borderId="5" xfId="0" applyNumberFormat="1" applyFont="1" applyFill="1" applyBorder="1"/>
    <xf numFmtId="3" fontId="17" fillId="0" borderId="5" xfId="0" applyNumberFormat="1" applyFont="1" applyFill="1" applyBorder="1"/>
    <xf numFmtId="3" fontId="31" fillId="0" borderId="0" xfId="0" applyNumberFormat="1" applyFont="1"/>
    <xf numFmtId="0" fontId="17" fillId="0" borderId="0" xfId="0" applyFont="1" applyFill="1" applyAlignment="1">
      <alignment horizontal="left"/>
    </xf>
    <xf numFmtId="0" fontId="17" fillId="2" borderId="0" xfId="0" applyFont="1" applyFill="1" applyAlignment="1"/>
    <xf numFmtId="3" fontId="17" fillId="2" borderId="0" xfId="0" applyNumberFormat="1" applyFont="1" applyFill="1" applyAlignment="1"/>
    <xf numFmtId="3" fontId="17" fillId="2" borderId="0" xfId="0" applyNumberFormat="1" applyFont="1" applyFill="1" applyAlignment="1">
      <alignment wrapText="1"/>
    </xf>
    <xf numFmtId="49" fontId="32" fillId="0" borderId="0" xfId="0" applyNumberFormat="1" applyFont="1" applyAlignment="1">
      <alignment vertical="top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4" fontId="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ill="1" applyBorder="1"/>
    <xf numFmtId="3" fontId="33" fillId="0" borderId="0" xfId="0" applyNumberFormat="1" applyFont="1" applyFill="1" applyBorder="1"/>
    <xf numFmtId="3" fontId="34" fillId="0" borderId="0" xfId="0" applyNumberFormat="1" applyFont="1" applyFill="1" applyBorder="1"/>
    <xf numFmtId="0" fontId="4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4" fillId="2" borderId="29" xfId="0" applyFont="1" applyFill="1" applyBorder="1" applyAlignment="1">
      <alignment horizontal="left"/>
    </xf>
    <xf numFmtId="3" fontId="0" fillId="2" borderId="29" xfId="0" applyNumberFormat="1" applyFill="1" applyBorder="1"/>
    <xf numFmtId="3" fontId="4" fillId="0" borderId="29" xfId="0" applyNumberFormat="1" applyFont="1" applyFill="1" applyBorder="1"/>
    <xf numFmtId="0" fontId="0" fillId="0" borderId="56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57" xfId="0" applyFont="1" applyBorder="1" applyAlignment="1">
      <alignment horizontal="left"/>
    </xf>
    <xf numFmtId="3" fontId="0" fillId="0" borderId="57" xfId="0" applyNumberFormat="1" applyFont="1" applyFill="1" applyBorder="1"/>
    <xf numFmtId="3" fontId="0" fillId="0" borderId="57" xfId="0" applyNumberFormat="1" applyFont="1" applyFill="1" applyBorder="1" applyAlignment="1">
      <alignment horizontal="right"/>
    </xf>
    <xf numFmtId="3" fontId="4" fillId="0" borderId="57" xfId="0" applyNumberFormat="1" applyFont="1" applyFill="1" applyBorder="1"/>
    <xf numFmtId="4" fontId="0" fillId="0" borderId="0" xfId="0" applyNumberFormat="1"/>
    <xf numFmtId="3" fontId="4" fillId="0" borderId="5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/>
    <xf numFmtId="0" fontId="0" fillId="0" borderId="36" xfId="0" applyBorder="1" applyAlignment="1">
      <alignment horizontal="right"/>
    </xf>
    <xf numFmtId="0" fontId="4" fillId="0" borderId="37" xfId="0" applyFont="1" applyBorder="1" applyAlignment="1">
      <alignment horizontal="left"/>
    </xf>
    <xf numFmtId="3" fontId="0" fillId="0" borderId="37" xfId="0" applyNumberFormat="1" applyFill="1" applyBorder="1"/>
    <xf numFmtId="4" fontId="0" fillId="0" borderId="37" xfId="0" applyNumberFormat="1" applyFont="1" applyFill="1" applyBorder="1"/>
    <xf numFmtId="4" fontId="4" fillId="0" borderId="37" xfId="0" applyNumberFormat="1" applyFont="1" applyFill="1" applyBorder="1"/>
    <xf numFmtId="4" fontId="4" fillId="2" borderId="38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right"/>
    </xf>
    <xf numFmtId="4" fontId="0" fillId="2" borderId="29" xfId="0" applyNumberFormat="1" applyFill="1" applyBorder="1"/>
    <xf numFmtId="4" fontId="4" fillId="0" borderId="40" xfId="0" applyNumberFormat="1" applyFont="1" applyFill="1" applyBorder="1"/>
    <xf numFmtId="4" fontId="33" fillId="0" borderId="37" xfId="0" applyNumberFormat="1" applyFont="1" applyFill="1" applyBorder="1"/>
    <xf numFmtId="4" fontId="34" fillId="0" borderId="37" xfId="0" applyNumberFormat="1" applyFont="1" applyFill="1" applyBorder="1"/>
    <xf numFmtId="0" fontId="4" fillId="0" borderId="58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4" fontId="34" fillId="0" borderId="2" xfId="0" applyNumberFormat="1" applyFont="1" applyFill="1" applyBorder="1"/>
    <xf numFmtId="4" fontId="4" fillId="2" borderId="59" xfId="0" applyNumberFormat="1" applyFont="1" applyFill="1" applyBorder="1" applyAlignment="1">
      <alignment horizontal="right"/>
    </xf>
    <xf numFmtId="3" fontId="0" fillId="0" borderId="60" xfId="0" applyNumberFormat="1" applyFill="1" applyBorder="1"/>
    <xf numFmtId="3" fontId="4" fillId="0" borderId="61" xfId="0" applyNumberFormat="1" applyFont="1" applyFill="1" applyBorder="1"/>
    <xf numFmtId="0" fontId="0" fillId="0" borderId="48" xfId="0" applyBorder="1" applyAlignment="1">
      <alignment horizontal="right"/>
    </xf>
    <xf numFmtId="0" fontId="4" fillId="0" borderId="48" xfId="0" applyFont="1" applyBorder="1" applyAlignment="1">
      <alignment horizontal="left"/>
    </xf>
    <xf numFmtId="3" fontId="0" fillId="0" borderId="48" xfId="0" applyNumberFormat="1" applyFill="1" applyBorder="1"/>
    <xf numFmtId="4" fontId="33" fillId="0" borderId="48" xfId="0" applyNumberFormat="1" applyFont="1" applyFill="1" applyBorder="1"/>
    <xf numFmtId="4" fontId="34" fillId="0" borderId="48" xfId="0" applyNumberFormat="1" applyFont="1" applyFill="1" applyBorder="1"/>
    <xf numFmtId="4" fontId="4" fillId="2" borderId="48" xfId="0" applyNumberFormat="1" applyFont="1" applyFill="1" applyBorder="1" applyAlignment="1">
      <alignment horizontal="right"/>
    </xf>
    <xf numFmtId="4" fontId="4" fillId="0" borderId="29" xfId="0" applyNumberFormat="1" applyFont="1" applyFill="1" applyBorder="1"/>
    <xf numFmtId="3" fontId="33" fillId="0" borderId="57" xfId="0" applyNumberFormat="1" applyFont="1" applyFill="1" applyBorder="1"/>
    <xf numFmtId="3" fontId="34" fillId="0" borderId="57" xfId="0" applyNumberFormat="1" applyFont="1" applyFill="1" applyBorder="1"/>
    <xf numFmtId="0" fontId="0" fillId="0" borderId="37" xfId="0" applyBorder="1" applyAlignment="1">
      <alignment horizontal="right"/>
    </xf>
    <xf numFmtId="4" fontId="4" fillId="2" borderId="37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4" fontId="0" fillId="2" borderId="2" xfId="0" applyNumberFormat="1" applyFill="1" applyBorder="1"/>
    <xf numFmtId="4" fontId="4" fillId="0" borderId="2" xfId="0" applyNumberFormat="1" applyFont="1" applyFill="1" applyBorder="1"/>
    <xf numFmtId="3" fontId="0" fillId="0" borderId="57" xfId="0" applyNumberFormat="1" applyFill="1" applyBorder="1"/>
    <xf numFmtId="3" fontId="4" fillId="0" borderId="62" xfId="0" applyNumberFormat="1" applyFont="1" applyFill="1" applyBorder="1"/>
    <xf numFmtId="0" fontId="0" fillId="0" borderId="48" xfId="0" applyBorder="1"/>
    <xf numFmtId="3" fontId="0" fillId="0" borderId="48" xfId="0" applyNumberFormat="1" applyBorder="1"/>
    <xf numFmtId="3" fontId="0" fillId="0" borderId="48" xfId="0" applyNumberFormat="1" applyFont="1" applyBorder="1"/>
    <xf numFmtId="164" fontId="0" fillId="0" borderId="0" xfId="0" applyNumberFormat="1"/>
    <xf numFmtId="164" fontId="0" fillId="0" borderId="0" xfId="0" applyNumberFormat="1" applyFont="1"/>
    <xf numFmtId="0" fontId="0" fillId="2" borderId="0" xfId="0" applyFill="1" applyAlignment="1">
      <alignment horizontal="right"/>
    </xf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164" fontId="4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64" fontId="0" fillId="2" borderId="29" xfId="0" applyNumberFormat="1" applyFill="1" applyBorder="1"/>
    <xf numFmtId="164" fontId="4" fillId="0" borderId="29" xfId="0" applyNumberFormat="1" applyFont="1" applyFill="1" applyBorder="1"/>
    <xf numFmtId="3" fontId="0" fillId="0" borderId="57" xfId="0" applyNumberFormat="1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4" fontId="14" fillId="0" borderId="37" xfId="0" applyNumberFormat="1" applyFont="1" applyFill="1" applyBorder="1" applyAlignment="1">
      <alignment horizontal="right"/>
    </xf>
    <xf numFmtId="4" fontId="13" fillId="0" borderId="37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4" fontId="14" fillId="2" borderId="29" xfId="0" applyNumberFormat="1" applyFont="1" applyFill="1" applyBorder="1" applyAlignment="1">
      <alignment horizontal="right"/>
    </xf>
    <xf numFmtId="4" fontId="13" fillId="0" borderId="40" xfId="0" applyNumberFormat="1" applyFont="1" applyFill="1" applyBorder="1"/>
    <xf numFmtId="3" fontId="0" fillId="2" borderId="57" xfId="0" applyNumberFormat="1" applyFont="1" applyFill="1" applyBorder="1"/>
    <xf numFmtId="4" fontId="33" fillId="0" borderId="37" xfId="0" applyNumberFormat="1" applyFont="1" applyFill="1" applyBorder="1" applyAlignment="1">
      <alignment horizontal="right"/>
    </xf>
    <xf numFmtId="4" fontId="34" fillId="0" borderId="37" xfId="0" applyNumberFormat="1" applyFont="1" applyFill="1" applyBorder="1" applyAlignment="1">
      <alignment horizontal="center"/>
    </xf>
    <xf numFmtId="4" fontId="34" fillId="0" borderId="38" xfId="0" applyNumberFormat="1" applyFont="1" applyFill="1" applyBorder="1" applyAlignment="1">
      <alignment horizontal="center"/>
    </xf>
    <xf numFmtId="4" fontId="0" fillId="2" borderId="29" xfId="0" applyNumberFormat="1" applyFont="1" applyFill="1" applyBorder="1" applyAlignment="1">
      <alignment horizontal="right"/>
    </xf>
    <xf numFmtId="3" fontId="33" fillId="0" borderId="57" xfId="0" applyNumberFormat="1" applyFont="1" applyFill="1" applyBorder="1" applyAlignment="1">
      <alignment horizontal="right"/>
    </xf>
    <xf numFmtId="3" fontId="34" fillId="0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/>
    <xf numFmtId="3" fontId="33" fillId="0" borderId="57" xfId="0" applyNumberFormat="1" applyFont="1" applyFill="1" applyBorder="1" applyAlignment="1"/>
    <xf numFmtId="3" fontId="34" fillId="0" borderId="57" xfId="0" applyNumberFormat="1" applyFont="1" applyFill="1" applyBorder="1" applyAlignment="1"/>
    <xf numFmtId="4" fontId="4" fillId="2" borderId="38" xfId="0" applyNumberFormat="1" applyFont="1" applyFill="1" applyBorder="1"/>
    <xf numFmtId="0" fontId="4" fillId="0" borderId="39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4" fontId="0" fillId="0" borderId="2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3" fontId="4" fillId="0" borderId="57" xfId="0" applyNumberFormat="1" applyFont="1" applyFill="1" applyBorder="1" applyAlignment="1">
      <alignment horizontal="right"/>
    </xf>
    <xf numFmtId="3" fontId="4" fillId="0" borderId="57" xfId="0" applyNumberFormat="1" applyFont="1" applyFill="1" applyBorder="1" applyAlignment="1"/>
    <xf numFmtId="0" fontId="0" fillId="0" borderId="63" xfId="0" applyBorder="1" applyAlignment="1">
      <alignment horizontal="right"/>
    </xf>
    <xf numFmtId="3" fontId="0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/>
    <xf numFmtId="4" fontId="4" fillId="2" borderId="37" xfId="0" applyNumberFormat="1" applyFont="1" applyFill="1" applyBorder="1"/>
    <xf numFmtId="4" fontId="0" fillId="2" borderId="2" xfId="0" applyNumberFormat="1" applyFont="1" applyFill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0" fillId="0" borderId="48" xfId="0" applyBorder="1" applyAlignment="1">
      <alignment horizontal="left"/>
    </xf>
    <xf numFmtId="164" fontId="0" fillId="0" borderId="48" xfId="0" applyNumberFormat="1" applyBorder="1"/>
    <xf numFmtId="164" fontId="0" fillId="0" borderId="48" xfId="0" applyNumberFormat="1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41" fillId="0" borderId="0" xfId="0" applyFont="1"/>
    <xf numFmtId="0" fontId="41" fillId="0" borderId="0" xfId="0" applyFont="1" applyAlignment="1">
      <alignment horizontal="right"/>
    </xf>
    <xf numFmtId="3" fontId="41" fillId="0" borderId="0" xfId="0" applyNumberFormat="1" applyFont="1"/>
    <xf numFmtId="3" fontId="41" fillId="0" borderId="0" xfId="0" applyNumberFormat="1" applyFont="1" applyAlignment="1"/>
    <xf numFmtId="0" fontId="42" fillId="0" borderId="0" xfId="0" applyFont="1" applyBorder="1" applyAlignment="1">
      <alignment horizontal="left"/>
    </xf>
    <xf numFmtId="0" fontId="42" fillId="0" borderId="0" xfId="0" applyFont="1" applyFill="1" applyAlignment="1">
      <alignment horizontal="left"/>
    </xf>
    <xf numFmtId="3" fontId="41" fillId="0" borderId="0" xfId="0" applyNumberFormat="1" applyFont="1" applyAlignment="1">
      <alignment horizontal="right"/>
    </xf>
    <xf numFmtId="0" fontId="42" fillId="0" borderId="0" xfId="0" applyFont="1" applyAlignment="1"/>
    <xf numFmtId="0" fontId="43" fillId="0" borderId="0" xfId="0" applyFont="1" applyAlignment="1"/>
    <xf numFmtId="3" fontId="43" fillId="0" borderId="0" xfId="0" applyNumberFormat="1" applyFont="1" applyAlignment="1"/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1" fontId="43" fillId="2" borderId="3" xfId="0" applyNumberFormat="1" applyFont="1" applyFill="1" applyBorder="1" applyAlignment="1">
      <alignment horizontal="center" vertical="center" wrapText="1"/>
    </xf>
    <xf numFmtId="0" fontId="43" fillId="12" borderId="64" xfId="0" applyFont="1" applyFill="1" applyBorder="1" applyAlignment="1">
      <alignment horizontal="center" vertical="center"/>
    </xf>
    <xf numFmtId="3" fontId="43" fillId="12" borderId="65" xfId="0" applyNumberFormat="1" applyFont="1" applyFill="1" applyBorder="1" applyAlignment="1">
      <alignment vertical="center"/>
    </xf>
    <xf numFmtId="4" fontId="44" fillId="12" borderId="66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left" vertical="center" indent="1"/>
    </xf>
    <xf numFmtId="3" fontId="43" fillId="0" borderId="69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0" fontId="43" fillId="0" borderId="7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left" vertical="center" indent="1"/>
    </xf>
    <xf numFmtId="3" fontId="43" fillId="0" borderId="24" xfId="0" applyNumberFormat="1" applyFont="1" applyFill="1" applyBorder="1" applyAlignment="1">
      <alignment vertical="center"/>
    </xf>
    <xf numFmtId="4" fontId="44" fillId="0" borderId="72" xfId="0" applyNumberFormat="1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left" vertical="center" indent="1"/>
    </xf>
    <xf numFmtId="3" fontId="43" fillId="0" borderId="75" xfId="0" applyNumberFormat="1" applyFont="1" applyFill="1" applyBorder="1" applyAlignment="1">
      <alignment vertical="center"/>
    </xf>
    <xf numFmtId="4" fontId="44" fillId="0" borderId="76" xfId="0" applyNumberFormat="1" applyFont="1" applyFill="1" applyBorder="1" applyAlignment="1">
      <alignment horizontal="center" vertical="center"/>
    </xf>
    <xf numFmtId="0" fontId="43" fillId="0" borderId="77" xfId="0" applyFont="1" applyBorder="1" applyAlignment="1">
      <alignment horizontal="right"/>
    </xf>
    <xf numFmtId="0" fontId="43" fillId="0" borderId="78" xfId="0" applyFont="1" applyFill="1" applyBorder="1" applyAlignment="1"/>
    <xf numFmtId="3" fontId="44" fillId="0" borderId="21" xfId="0" applyNumberFormat="1" applyFont="1" applyFill="1" applyBorder="1" applyAlignment="1"/>
    <xf numFmtId="4" fontId="44" fillId="0" borderId="79" xfId="0" applyNumberFormat="1" applyFont="1" applyFill="1" applyBorder="1" applyAlignment="1">
      <alignment horizontal="center"/>
    </xf>
    <xf numFmtId="164" fontId="43" fillId="0" borderId="0" xfId="0" applyNumberFormat="1" applyFont="1" applyAlignment="1">
      <alignment vertical="center"/>
    </xf>
    <xf numFmtId="0" fontId="41" fillId="0" borderId="80" xfId="0" applyFont="1" applyBorder="1" applyAlignment="1">
      <alignment horizontal="right"/>
    </xf>
    <xf numFmtId="0" fontId="41" fillId="0" borderId="81" xfId="0" applyFont="1" applyFill="1" applyBorder="1" applyAlignment="1">
      <alignment horizontal="left" indent="2"/>
    </xf>
    <xf numFmtId="3" fontId="41" fillId="0" borderId="45" xfId="0" applyNumberFormat="1" applyFont="1" applyFill="1" applyBorder="1" applyAlignment="1"/>
    <xf numFmtId="4" fontId="41" fillId="0" borderId="82" xfId="0" applyNumberFormat="1" applyFont="1" applyFill="1" applyBorder="1" applyAlignment="1">
      <alignment horizont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77" xfId="0" applyFont="1" applyBorder="1" applyAlignment="1">
      <alignment horizontal="right"/>
    </xf>
    <xf numFmtId="0" fontId="41" fillId="0" borderId="78" xfId="0" applyFont="1" applyFill="1" applyBorder="1" applyAlignment="1">
      <alignment horizontal="left" indent="2"/>
    </xf>
    <xf numFmtId="3" fontId="41" fillId="0" borderId="21" xfId="0" applyNumberFormat="1" applyFont="1" applyFill="1" applyBorder="1" applyAlignment="1"/>
    <xf numFmtId="0" fontId="43" fillId="0" borderId="83" xfId="0" applyFont="1" applyBorder="1" applyAlignment="1">
      <alignment horizontal="right"/>
    </xf>
    <xf numFmtId="0" fontId="43" fillId="0" borderId="84" xfId="0" applyFont="1" applyFill="1" applyBorder="1" applyAlignment="1"/>
    <xf numFmtId="3" fontId="44" fillId="0" borderId="49" xfId="0" applyNumberFormat="1" applyFont="1" applyFill="1" applyBorder="1" applyAlignment="1"/>
    <xf numFmtId="3" fontId="44" fillId="0" borderId="49" xfId="0" applyNumberFormat="1" applyFont="1" applyFill="1" applyBorder="1" applyAlignment="1">
      <alignment horizontal="center"/>
    </xf>
    <xf numFmtId="0" fontId="44" fillId="0" borderId="83" xfId="0" applyFont="1" applyBorder="1" applyAlignment="1">
      <alignment horizontal="right"/>
    </xf>
    <xf numFmtId="0" fontId="44" fillId="0" borderId="84" xfId="0" applyFont="1" applyFill="1" applyBorder="1" applyAlignment="1"/>
    <xf numFmtId="3" fontId="45" fillId="0" borderId="0" xfId="0" applyNumberFormat="1" applyFont="1" applyAlignment="1">
      <alignment vertical="center"/>
    </xf>
    <xf numFmtId="16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85" xfId="0" applyFont="1" applyBorder="1" applyAlignment="1">
      <alignment horizontal="right"/>
    </xf>
    <xf numFmtId="0" fontId="41" fillId="0" borderId="86" xfId="0" applyFont="1" applyFill="1" applyBorder="1" applyAlignment="1"/>
    <xf numFmtId="3" fontId="41" fillId="0" borderId="33" xfId="0" applyNumberFormat="1" applyFont="1" applyFill="1" applyBorder="1" applyAlignment="1"/>
    <xf numFmtId="4" fontId="44" fillId="0" borderId="82" xfId="0" applyNumberFormat="1" applyFont="1" applyFill="1" applyBorder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41" fillId="0" borderId="86" xfId="0" applyFont="1" applyFill="1" applyBorder="1" applyAlignment="1">
      <alignment horizontal="left" indent="1"/>
    </xf>
    <xf numFmtId="165" fontId="41" fillId="0" borderId="33" xfId="0" applyNumberFormat="1" applyFont="1" applyFill="1" applyBorder="1" applyAlignment="1"/>
    <xf numFmtId="0" fontId="41" fillId="0" borderId="86" xfId="0" applyFont="1" applyFill="1" applyBorder="1" applyAlignment="1">
      <alignment wrapText="1"/>
    </xf>
    <xf numFmtId="0" fontId="43" fillId="0" borderId="0" xfId="0" applyFont="1"/>
    <xf numFmtId="3" fontId="43" fillId="0" borderId="0" xfId="0" applyNumberFormat="1" applyFont="1"/>
    <xf numFmtId="0" fontId="46" fillId="0" borderId="87" xfId="0" applyFont="1" applyFill="1" applyBorder="1" applyAlignment="1">
      <alignment horizontal="left"/>
    </xf>
    <xf numFmtId="0" fontId="46" fillId="0" borderId="86" xfId="0" applyFont="1" applyFill="1" applyBorder="1" applyAlignment="1">
      <alignment horizontal="left"/>
    </xf>
    <xf numFmtId="0" fontId="41" fillId="0" borderId="88" xfId="0" applyFont="1" applyFill="1" applyBorder="1" applyAlignment="1">
      <alignment wrapText="1"/>
    </xf>
    <xf numFmtId="0" fontId="45" fillId="0" borderId="84" xfId="0" applyFont="1" applyFill="1" applyBorder="1" applyAlignment="1"/>
    <xf numFmtId="3" fontId="44" fillId="0" borderId="49" xfId="0" applyNumberFormat="1" applyFont="1" applyFill="1" applyBorder="1" applyAlignment="1">
      <alignment horizontal="right"/>
    </xf>
    <xf numFmtId="3" fontId="41" fillId="0" borderId="33" xfId="0" applyNumberFormat="1" applyFont="1" applyFill="1" applyBorder="1" applyAlignment="1">
      <alignment horizontal="right"/>
    </xf>
    <xf numFmtId="0" fontId="41" fillId="0" borderId="86" xfId="0" applyFont="1" applyFill="1" applyBorder="1" applyAlignment="1">
      <alignment horizontal="left"/>
    </xf>
    <xf numFmtId="0" fontId="41" fillId="0" borderId="85" xfId="0" applyFont="1" applyFill="1" applyBorder="1" applyAlignment="1">
      <alignment horizontal="right"/>
    </xf>
    <xf numFmtId="3" fontId="41" fillId="0" borderId="32" xfId="0" applyNumberFormat="1" applyFont="1" applyFill="1" applyBorder="1" applyAlignment="1"/>
    <xf numFmtId="0" fontId="41" fillId="0" borderId="89" xfId="0" applyFont="1" applyFill="1" applyBorder="1" applyAlignment="1">
      <alignment horizontal="right"/>
    </xf>
    <xf numFmtId="0" fontId="41" fillId="0" borderId="86" xfId="0" applyFont="1" applyFill="1" applyBorder="1" applyAlignment="1">
      <alignment horizontal="left" wrapText="1"/>
    </xf>
    <xf numFmtId="0" fontId="43" fillId="13" borderId="83" xfId="0" applyFont="1" applyFill="1" applyBorder="1" applyAlignment="1">
      <alignment horizontal="right" vertical="center"/>
    </xf>
    <xf numFmtId="0" fontId="43" fillId="13" borderId="84" xfId="0" applyFont="1" applyFill="1" applyBorder="1" applyAlignment="1">
      <alignment vertical="center" wrapText="1"/>
    </xf>
    <xf numFmtId="3" fontId="43" fillId="13" borderId="3" xfId="0" applyNumberFormat="1" applyFont="1" applyFill="1" applyBorder="1" applyAlignment="1">
      <alignment vertical="center"/>
    </xf>
    <xf numFmtId="3" fontId="43" fillId="13" borderId="49" xfId="0" applyNumberFormat="1" applyFont="1" applyFill="1" applyBorder="1" applyAlignment="1">
      <alignment vertical="center"/>
    </xf>
    <xf numFmtId="4" fontId="44" fillId="13" borderId="79" xfId="0" applyNumberFormat="1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right" vertical="center"/>
    </xf>
    <xf numFmtId="0" fontId="41" fillId="0" borderId="90" xfId="0" applyFont="1" applyFill="1" applyBorder="1" applyAlignment="1">
      <alignment horizontal="left" vertical="center" indent="1"/>
    </xf>
    <xf numFmtId="3" fontId="41" fillId="0" borderId="44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4" fontId="45" fillId="0" borderId="9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70" xfId="0" applyFont="1" applyFill="1" applyBorder="1" applyAlignment="1">
      <alignment horizontal="right" vertical="center"/>
    </xf>
    <xf numFmtId="0" fontId="41" fillId="0" borderId="71" xfId="0" applyFont="1" applyFill="1" applyBorder="1" applyAlignment="1">
      <alignment horizontal="left" vertical="center" indent="1"/>
    </xf>
    <xf numFmtId="3" fontId="41" fillId="0" borderId="23" xfId="0" applyNumberFormat="1" applyFont="1" applyFill="1" applyBorder="1" applyAlignment="1">
      <alignment vertical="center"/>
    </xf>
    <xf numFmtId="3" fontId="41" fillId="0" borderId="24" xfId="0" applyNumberFormat="1" applyFont="1" applyFill="1" applyBorder="1" applyAlignment="1">
      <alignment vertical="center"/>
    </xf>
    <xf numFmtId="4" fontId="45" fillId="0" borderId="92" xfId="0" applyNumberFormat="1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right" vertical="center"/>
    </xf>
    <xf numFmtId="0" fontId="41" fillId="0" borderId="74" xfId="0" applyFont="1" applyFill="1" applyBorder="1" applyAlignment="1">
      <alignment horizontal="left" vertical="center" indent="1"/>
    </xf>
    <xf numFmtId="3" fontId="41" fillId="0" borderId="5" xfId="0" applyNumberFormat="1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4" fontId="45" fillId="0" borderId="93" xfId="0" applyNumberFormat="1" applyFont="1" applyFill="1" applyBorder="1" applyAlignment="1">
      <alignment horizontal="center" vertical="center"/>
    </xf>
    <xf numFmtId="0" fontId="43" fillId="13" borderId="84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4" fontId="45" fillId="0" borderId="94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right" vertical="center"/>
    </xf>
    <xf numFmtId="3" fontId="43" fillId="0" borderId="44" xfId="0" applyNumberFormat="1" applyFont="1" applyFill="1" applyBorder="1" applyAlignment="1">
      <alignment vertical="center"/>
    </xf>
    <xf numFmtId="3" fontId="43" fillId="0" borderId="45" xfId="0" applyNumberFormat="1" applyFont="1" applyFill="1" applyBorder="1" applyAlignment="1">
      <alignment vertical="center"/>
    </xf>
    <xf numFmtId="4" fontId="44" fillId="0" borderId="94" xfId="0" applyNumberFormat="1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right" vertical="center"/>
    </xf>
    <xf numFmtId="3" fontId="43" fillId="0" borderId="23" xfId="0" applyNumberFormat="1" applyFont="1" applyFill="1" applyBorder="1" applyAlignment="1">
      <alignment vertical="center"/>
    </xf>
    <xf numFmtId="0" fontId="43" fillId="0" borderId="73" xfId="0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0" fontId="41" fillId="0" borderId="89" xfId="0" applyFont="1" applyBorder="1" applyAlignment="1">
      <alignment horizontal="right"/>
    </xf>
    <xf numFmtId="0" fontId="41" fillId="0" borderId="95" xfId="0" applyFont="1" applyBorder="1" applyAlignment="1"/>
    <xf numFmtId="3" fontId="41" fillId="0" borderId="43" xfId="0" applyNumberFormat="1" applyFont="1" applyBorder="1" applyAlignment="1"/>
    <xf numFmtId="3" fontId="41" fillId="0" borderId="54" xfId="0" applyNumberFormat="1" applyFont="1" applyBorder="1" applyAlignment="1"/>
    <xf numFmtId="4" fontId="44" fillId="0" borderId="91" xfId="0" applyNumberFormat="1" applyFont="1" applyFill="1" applyBorder="1" applyAlignment="1">
      <alignment horizontal="center" vertical="center"/>
    </xf>
    <xf numFmtId="0" fontId="41" fillId="0" borderId="70" xfId="0" applyFont="1" applyBorder="1" applyAlignment="1">
      <alignment horizontal="right"/>
    </xf>
    <xf numFmtId="0" fontId="41" fillId="0" borderId="71" xfId="0" applyFont="1" applyBorder="1" applyAlignment="1"/>
    <xf numFmtId="3" fontId="41" fillId="0" borderId="23" xfId="0" applyNumberFormat="1" applyFont="1" applyBorder="1" applyAlignment="1"/>
    <xf numFmtId="3" fontId="41" fillId="0" borderId="24" xfId="0" applyNumberFormat="1" applyFont="1" applyBorder="1" applyAlignment="1"/>
    <xf numFmtId="4" fontId="44" fillId="0" borderId="92" xfId="0" applyNumberFormat="1" applyFont="1" applyFill="1" applyBorder="1" applyAlignment="1">
      <alignment horizontal="center" vertical="center"/>
    </xf>
    <xf numFmtId="3" fontId="41" fillId="0" borderId="37" xfId="0" applyNumberFormat="1" applyFont="1" applyBorder="1" applyAlignment="1"/>
    <xf numFmtId="0" fontId="41" fillId="0" borderId="37" xfId="0" applyFont="1" applyBorder="1"/>
    <xf numFmtId="3" fontId="41" fillId="0" borderId="37" xfId="0" applyNumberFormat="1" applyFont="1" applyBorder="1"/>
    <xf numFmtId="0" fontId="41" fillId="0" borderId="96" xfId="0" applyFont="1" applyBorder="1"/>
    <xf numFmtId="0" fontId="41" fillId="0" borderId="97" xfId="0" applyFont="1" applyBorder="1" applyAlignment="1">
      <alignment horizontal="left" indent="5"/>
    </xf>
    <xf numFmtId="0" fontId="41" fillId="0" borderId="10" xfId="0" applyFont="1" applyBorder="1"/>
    <xf numFmtId="0" fontId="41" fillId="0" borderId="98" xfId="0" applyFont="1" applyBorder="1"/>
    <xf numFmtId="3" fontId="41" fillId="0" borderId="98" xfId="0" applyNumberFormat="1" applyFont="1" applyBorder="1"/>
    <xf numFmtId="4" fontId="44" fillId="0" borderId="99" xfId="0" applyNumberFormat="1" applyFont="1" applyFill="1" applyBorder="1" applyAlignment="1">
      <alignment horizontal="center" vertical="center"/>
    </xf>
    <xf numFmtId="0" fontId="41" fillId="0" borderId="100" xfId="0" applyFont="1" applyBorder="1"/>
    <xf numFmtId="0" fontId="41" fillId="0" borderId="101" xfId="0" applyFont="1" applyBorder="1" applyAlignment="1">
      <alignment horizontal="left" indent="5"/>
    </xf>
    <xf numFmtId="0" fontId="41" fillId="0" borderId="11" xfId="0" applyFont="1" applyBorder="1"/>
    <xf numFmtId="0" fontId="41" fillId="0" borderId="27" xfId="0" applyFont="1" applyBorder="1"/>
    <xf numFmtId="0" fontId="41" fillId="0" borderId="102" xfId="0" applyFont="1" applyBorder="1"/>
    <xf numFmtId="0" fontId="41" fillId="0" borderId="103" xfId="0" applyFont="1" applyBorder="1" applyAlignment="1">
      <alignment horizontal="left" indent="5"/>
    </xf>
    <xf numFmtId="0" fontId="41" fillId="0" borderId="9" xfId="0" applyFont="1" applyBorder="1"/>
    <xf numFmtId="0" fontId="41" fillId="0" borderId="28" xfId="0" applyFont="1" applyBorder="1"/>
    <xf numFmtId="1" fontId="43" fillId="2" borderId="5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vertical="center" wrapText="1"/>
    </xf>
    <xf numFmtId="0" fontId="47" fillId="0" borderId="4" xfId="0" applyFont="1" applyFill="1" applyBorder="1" applyAlignment="1">
      <alignment vertical="center" wrapText="1"/>
    </xf>
    <xf numFmtId="0" fontId="47" fillId="0" borderId="49" xfId="0" applyFont="1" applyFill="1" applyBorder="1" applyAlignment="1">
      <alignment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104" xfId="0" applyFont="1" applyFill="1" applyBorder="1" applyAlignment="1">
      <alignment vertical="center" wrapText="1"/>
    </xf>
    <xf numFmtId="1" fontId="43" fillId="2" borderId="21" xfId="0" applyNumberFormat="1" applyFont="1" applyFill="1" applyBorder="1" applyAlignment="1">
      <alignment horizontal="center" vertical="center" wrapText="1"/>
    </xf>
    <xf numFmtId="0" fontId="43" fillId="12" borderId="105" xfId="0" applyFont="1" applyFill="1" applyBorder="1" applyAlignment="1">
      <alignment vertical="center"/>
    </xf>
    <xf numFmtId="0" fontId="47" fillId="0" borderId="104" xfId="0" applyFont="1" applyFill="1" applyBorder="1" applyAlignment="1">
      <alignment horizontal="center" vertical="center" wrapText="1"/>
    </xf>
    <xf numFmtId="0" fontId="47" fillId="0" borderId="106" xfId="0" applyFont="1" applyFill="1" applyBorder="1" applyAlignment="1">
      <alignment horizontal="center" vertical="center" wrapText="1"/>
    </xf>
    <xf numFmtId="0" fontId="47" fillId="0" borderId="10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3" fontId="48" fillId="0" borderId="0" xfId="0" applyNumberFormat="1" applyFont="1" applyAlignment="1">
      <alignment horizontal="right"/>
    </xf>
    <xf numFmtId="3" fontId="17" fillId="16" borderId="9" xfId="0" applyNumberFormat="1" applyFont="1" applyFill="1" applyBorder="1" applyAlignment="1">
      <alignment horizontal="right"/>
    </xf>
    <xf numFmtId="3" fontId="17" fillId="16" borderId="28" xfId="0" applyNumberFormat="1" applyFont="1" applyFill="1" applyBorder="1" applyAlignment="1"/>
    <xf numFmtId="3" fontId="17" fillId="7" borderId="24" xfId="0" applyNumberFormat="1" applyFont="1" applyFill="1" applyBorder="1" applyAlignment="1">
      <alignment horizontal="right"/>
    </xf>
    <xf numFmtId="3" fontId="17" fillId="0" borderId="43" xfId="0" applyNumberFormat="1" applyFont="1" applyFill="1" applyBorder="1" applyAlignment="1">
      <alignment vertical="center"/>
    </xf>
    <xf numFmtId="42" fontId="17" fillId="0" borderId="0" xfId="0" applyNumberFormat="1" applyFont="1" applyFill="1" applyBorder="1" applyAlignment="1">
      <alignment horizontal="left"/>
    </xf>
    <xf numFmtId="1" fontId="17" fillId="0" borderId="6" xfId="0" applyNumberFormat="1" applyFont="1" applyBorder="1" applyAlignment="1"/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43" xfId="0" applyNumberFormat="1" applyFont="1" applyFill="1" applyBorder="1" applyAlignment="1">
      <alignment horizontal="center" vertical="center" wrapText="1"/>
    </xf>
    <xf numFmtId="3" fontId="7" fillId="17" borderId="11" xfId="0" applyNumberFormat="1" applyFont="1" applyFill="1" applyBorder="1" applyAlignment="1" applyProtection="1">
      <alignment horizontal="right" vertical="center"/>
      <protection locked="0"/>
    </xf>
    <xf numFmtId="3" fontId="7" fillId="18" borderId="0" xfId="0" applyNumberFormat="1" applyFont="1" applyFill="1" applyBorder="1" applyAlignment="1">
      <alignment horizontal="right"/>
    </xf>
    <xf numFmtId="3" fontId="7" fillId="18" borderId="1" xfId="0" applyNumberFormat="1" applyFont="1" applyFill="1" applyBorder="1" applyAlignment="1">
      <alignment horizontal="right"/>
    </xf>
    <xf numFmtId="3" fontId="9" fillId="18" borderId="0" xfId="0" applyNumberFormat="1" applyFont="1" applyFill="1" applyBorder="1" applyAlignment="1"/>
    <xf numFmtId="0" fontId="37" fillId="5" borderId="30" xfId="0" applyFont="1" applyFill="1" applyBorder="1"/>
    <xf numFmtId="0" fontId="37" fillId="2" borderId="30" xfId="0" applyFont="1" applyFill="1" applyBorder="1" applyAlignment="1">
      <alignment horizontal="center"/>
    </xf>
    <xf numFmtId="3" fontId="38" fillId="5" borderId="15" xfId="0" applyNumberFormat="1" applyFont="1" applyFill="1" applyBorder="1" applyAlignment="1">
      <alignment vertical="center"/>
    </xf>
    <xf numFmtId="3" fontId="39" fillId="5" borderId="30" xfId="0" applyNumberFormat="1" applyFont="1" applyFill="1" applyBorder="1" applyAlignment="1">
      <alignment vertical="center"/>
    </xf>
    <xf numFmtId="3" fontId="9" fillId="19" borderId="1" xfId="0" applyNumberFormat="1" applyFont="1" applyFill="1" applyBorder="1" applyAlignment="1"/>
    <xf numFmtId="3" fontId="9" fillId="18" borderId="1" xfId="0" applyNumberFormat="1" applyFont="1" applyFill="1" applyBorder="1" applyAlignment="1"/>
    <xf numFmtId="49" fontId="11" fillId="2" borderId="22" xfId="0" applyNumberFormat="1" applyFont="1" applyFill="1" applyBorder="1" applyAlignment="1">
      <alignment horizontal="left" wrapText="1" indent="1"/>
    </xf>
    <xf numFmtId="3" fontId="9" fillId="2" borderId="11" xfId="0" applyNumberFormat="1" applyFont="1" applyFill="1" applyBorder="1" applyAlignment="1"/>
    <xf numFmtId="3" fontId="0" fillId="7" borderId="1" xfId="0" applyNumberFormat="1" applyFont="1" applyFill="1" applyBorder="1" applyAlignment="1"/>
    <xf numFmtId="3" fontId="9" fillId="14" borderId="1" xfId="0" applyNumberFormat="1" applyFont="1" applyFill="1" applyBorder="1" applyAlignment="1"/>
    <xf numFmtId="0" fontId="11" fillId="2" borderId="3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3" fontId="11" fillId="2" borderId="40" xfId="0" applyNumberFormat="1" applyFont="1" applyFill="1" applyBorder="1" applyAlignment="1">
      <alignment horizontal="center"/>
    </xf>
    <xf numFmtId="3" fontId="9" fillId="15" borderId="1" xfId="0" applyNumberFormat="1" applyFont="1" applyFill="1" applyBorder="1" applyAlignment="1"/>
    <xf numFmtId="4" fontId="9" fillId="2" borderId="11" xfId="0" applyNumberFormat="1" applyFont="1" applyFill="1" applyBorder="1" applyAlignment="1"/>
    <xf numFmtId="4" fontId="5" fillId="2" borderId="108" xfId="0" applyNumberFormat="1" applyFont="1" applyFill="1" applyBorder="1" applyAlignment="1">
      <alignment horizontal="right" vertical="center" wrapText="1"/>
    </xf>
    <xf numFmtId="4" fontId="5" fillId="2" borderId="43" xfId="0" applyNumberFormat="1" applyFont="1" applyFill="1" applyBorder="1" applyAlignment="1">
      <alignment horizontal="right" vertical="center" wrapText="1"/>
    </xf>
    <xf numFmtId="1" fontId="5" fillId="2" borderId="48" xfId="0" applyNumberFormat="1" applyFont="1" applyFill="1" applyBorder="1" applyAlignment="1">
      <alignment horizontal="right" vertical="center" wrapText="1"/>
    </xf>
    <xf numFmtId="3" fontId="9" fillId="17" borderId="1" xfId="0" applyNumberFormat="1" applyFont="1" applyFill="1" applyBorder="1" applyAlignment="1"/>
    <xf numFmtId="3" fontId="9" fillId="18" borderId="1" xfId="0" applyNumberFormat="1" applyFont="1" applyFill="1" applyBorder="1"/>
    <xf numFmtId="3" fontId="11" fillId="18" borderId="0" xfId="0" applyNumberFormat="1" applyFont="1" applyFill="1" applyBorder="1" applyAlignment="1"/>
    <xf numFmtId="3" fontId="0" fillId="17" borderId="1" xfId="0" applyNumberFormat="1" applyFont="1" applyFill="1" applyBorder="1" applyAlignment="1"/>
    <xf numFmtId="3" fontId="0" fillId="18" borderId="1" xfId="0" applyNumberFormat="1" applyFont="1" applyFill="1" applyBorder="1" applyAlignment="1"/>
    <xf numFmtId="3" fontId="0" fillId="18" borderId="0" xfId="0" applyNumberFormat="1" applyFont="1" applyFill="1" applyBorder="1" applyAlignment="1"/>
    <xf numFmtId="3" fontId="0" fillId="20" borderId="1" xfId="0" applyNumberFormat="1" applyFont="1" applyFill="1" applyBorder="1" applyAlignment="1"/>
    <xf numFmtId="3" fontId="11" fillId="18" borderId="1" xfId="0" applyNumberFormat="1" applyFont="1" applyFill="1" applyBorder="1" applyAlignment="1"/>
    <xf numFmtId="3" fontId="9" fillId="21" borderId="1" xfId="0" applyNumberFormat="1" applyFont="1" applyFill="1" applyBorder="1" applyAlignment="1"/>
    <xf numFmtId="3" fontId="8" fillId="18" borderId="1" xfId="0" applyNumberFormat="1" applyFont="1" applyFill="1" applyBorder="1" applyAlignment="1">
      <alignment horizontal="right"/>
    </xf>
    <xf numFmtId="3" fontId="8" fillId="18" borderId="0" xfId="0" applyNumberFormat="1" applyFont="1" applyFill="1" applyBorder="1" applyAlignment="1">
      <alignment horizontal="right"/>
    </xf>
    <xf numFmtId="3" fontId="8" fillId="17" borderId="1" xfId="0" applyNumberFormat="1" applyFont="1" applyFill="1" applyBorder="1" applyAlignment="1">
      <alignment horizontal="right"/>
    </xf>
    <xf numFmtId="3" fontId="11" fillId="17" borderId="1" xfId="0" applyNumberFormat="1" applyFont="1" applyFill="1" applyBorder="1" applyAlignment="1">
      <alignment horizontal="center"/>
    </xf>
    <xf numFmtId="3" fontId="11" fillId="18" borderId="1" xfId="0" applyNumberFormat="1" applyFont="1" applyFill="1" applyBorder="1" applyAlignment="1">
      <alignment horizontal="center"/>
    </xf>
    <xf numFmtId="3" fontId="11" fillId="18" borderId="0" xfId="0" applyNumberFormat="1" applyFont="1" applyFill="1" applyBorder="1" applyAlignment="1">
      <alignment horizontal="center"/>
    </xf>
    <xf numFmtId="3" fontId="11" fillId="17" borderId="1" xfId="0" applyNumberFormat="1" applyFont="1" applyFill="1" applyBorder="1" applyAlignment="1">
      <alignment horizontal="right"/>
    </xf>
    <xf numFmtId="3" fontId="9" fillId="18" borderId="0" xfId="0" applyNumberFormat="1" applyFont="1" applyFill="1" applyBorder="1" applyAlignment="1">
      <alignment horizontal="right"/>
    </xf>
    <xf numFmtId="3" fontId="9" fillId="18" borderId="1" xfId="0" applyNumberFormat="1" applyFont="1" applyFill="1" applyBorder="1" applyAlignment="1">
      <alignment horizontal="right"/>
    </xf>
    <xf numFmtId="3" fontId="0" fillId="22" borderId="11" xfId="0" applyNumberFormat="1" applyFont="1" applyFill="1" applyBorder="1" applyAlignment="1" applyProtection="1">
      <alignment horizontal="right" vertical="center"/>
      <protection locked="0"/>
    </xf>
    <xf numFmtId="4" fontId="9" fillId="2" borderId="5" xfId="0" applyNumberFormat="1" applyFont="1" applyFill="1" applyBorder="1" applyAlignment="1">
      <alignment horizontal="right"/>
    </xf>
    <xf numFmtId="3" fontId="49" fillId="2" borderId="1" xfId="0" applyNumberFormat="1" applyFont="1" applyFill="1" applyBorder="1" applyAlignment="1"/>
    <xf numFmtId="3" fontId="49" fillId="2" borderId="0" xfId="0" applyNumberFormat="1" applyFont="1" applyFill="1" applyBorder="1" applyAlignment="1"/>
    <xf numFmtId="1" fontId="5" fillId="2" borderId="3" xfId="0" applyNumberFormat="1" applyFont="1" applyFill="1" applyBorder="1" applyAlignment="1">
      <alignment horizontal="center" vertical="center" wrapText="1"/>
    </xf>
    <xf numFmtId="1" fontId="4" fillId="3" borderId="48" xfId="0" applyNumberFormat="1" applyFont="1" applyFill="1" applyBorder="1" applyAlignment="1">
      <alignment horizontal="center" vertical="center" wrapText="1"/>
    </xf>
    <xf numFmtId="3" fontId="17" fillId="16" borderId="24" xfId="0" applyNumberFormat="1" applyFont="1" applyFill="1" applyBorder="1" applyAlignment="1"/>
    <xf numFmtId="49" fontId="17" fillId="7" borderId="23" xfId="0" applyNumberFormat="1" applyFont="1" applyFill="1" applyBorder="1" applyAlignment="1">
      <alignment horizontal="center"/>
    </xf>
    <xf numFmtId="49" fontId="17" fillId="7" borderId="1" xfId="0" applyNumberFormat="1" applyFont="1" applyFill="1" applyBorder="1" applyAlignment="1">
      <alignment horizontal="center"/>
    </xf>
    <xf numFmtId="49" fontId="17" fillId="7" borderId="9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3" fontId="17" fillId="11" borderId="5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/>
    </xf>
    <xf numFmtId="3" fontId="17" fillId="11" borderId="1" xfId="0" applyNumberFormat="1" applyFont="1" applyFill="1" applyBorder="1" applyAlignment="1"/>
    <xf numFmtId="49" fontId="16" fillId="0" borderId="3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right"/>
    </xf>
    <xf numFmtId="3" fontId="50" fillId="0" borderId="1" xfId="0" applyNumberFormat="1" applyFont="1" applyBorder="1" applyAlignment="1">
      <alignment horizontal="right"/>
    </xf>
    <xf numFmtId="0" fontId="51" fillId="0" borderId="0" xfId="0" applyFont="1" applyAlignment="1">
      <alignment wrapText="1"/>
    </xf>
    <xf numFmtId="0" fontId="51" fillId="0" borderId="0" xfId="0" applyFont="1"/>
    <xf numFmtId="49" fontId="9" fillId="6" borderId="27" xfId="0" applyNumberFormat="1" applyFont="1" applyFill="1" applyBorder="1" applyAlignment="1">
      <alignment horizontal="left"/>
    </xf>
    <xf numFmtId="49" fontId="0" fillId="23" borderId="11" xfId="0" applyNumberFormat="1" applyFont="1" applyFill="1" applyBorder="1" applyAlignment="1">
      <alignment horizontal="left"/>
    </xf>
    <xf numFmtId="49" fontId="9" fillId="23" borderId="12" xfId="0" applyNumberFormat="1" applyFont="1" applyFill="1" applyBorder="1" applyAlignment="1">
      <alignment horizontal="center"/>
    </xf>
    <xf numFmtId="3" fontId="9" fillId="23" borderId="11" xfId="0" applyNumberFormat="1" applyFont="1" applyFill="1" applyBorder="1" applyAlignment="1"/>
    <xf numFmtId="0" fontId="0" fillId="23" borderId="0" xfId="0" applyFont="1" applyFill="1" applyBorder="1"/>
    <xf numFmtId="0" fontId="0" fillId="23" borderId="12" xfId="0" applyFont="1" applyFill="1" applyBorder="1"/>
    <xf numFmtId="0" fontId="40" fillId="0" borderId="0" xfId="0" applyFont="1"/>
    <xf numFmtId="1" fontId="41" fillId="24" borderId="107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indent="8"/>
    </xf>
    <xf numFmtId="0" fontId="2" fillId="2" borderId="0" xfId="0" applyFont="1" applyFill="1" applyBorder="1" applyAlignment="1">
      <alignment horizontal="left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indent="2"/>
    </xf>
    <xf numFmtId="0" fontId="4" fillId="4" borderId="9" xfId="0" applyFont="1" applyFill="1" applyBorder="1" applyAlignment="1">
      <alignment horizontal="left" indent="2"/>
    </xf>
    <xf numFmtId="0" fontId="7" fillId="2" borderId="110" xfId="0" applyFont="1" applyFill="1" applyBorder="1" applyAlignment="1">
      <alignment horizontal="left" wrapText="1"/>
    </xf>
    <xf numFmtId="49" fontId="9" fillId="5" borderId="12" xfId="0" applyNumberFormat="1" applyFont="1" applyFill="1" applyBorder="1" applyAlignment="1">
      <alignment horizontal="left" vertical="center" indent="1"/>
    </xf>
    <xf numFmtId="49" fontId="9" fillId="2" borderId="12" xfId="0" applyNumberFormat="1" applyFont="1" applyFill="1" applyBorder="1" applyAlignment="1">
      <alignment horizontal="left" vertical="center" indent="2"/>
    </xf>
    <xf numFmtId="49" fontId="9" fillId="2" borderId="12" xfId="0" applyNumberFormat="1" applyFont="1" applyFill="1" applyBorder="1" applyAlignment="1">
      <alignment horizontal="left" vertical="center" indent="4"/>
    </xf>
    <xf numFmtId="49" fontId="9" fillId="2" borderId="12" xfId="0" applyNumberFormat="1" applyFont="1" applyFill="1" applyBorder="1" applyAlignment="1">
      <alignment horizontal="left" vertical="center" wrapText="1" indent="2"/>
    </xf>
    <xf numFmtId="0" fontId="10" fillId="2" borderId="109" xfId="0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49" xfId="0" applyNumberFormat="1" applyFont="1" applyFill="1" applyBorder="1" applyAlignment="1">
      <alignment horizontal="center" vertical="center" wrapText="1"/>
    </xf>
    <xf numFmtId="4" fontId="4" fillId="3" borderId="4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left"/>
    </xf>
    <xf numFmtId="4" fontId="5" fillId="3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 indent="8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" fontId="17" fillId="0" borderId="49" xfId="0" applyNumberFormat="1" applyFont="1" applyBorder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1" fontId="17" fillId="2" borderId="49" xfId="0" applyNumberFormat="1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left" indent="2"/>
    </xf>
    <xf numFmtId="0" fontId="17" fillId="7" borderId="9" xfId="0" applyFont="1" applyFill="1" applyBorder="1" applyAlignment="1">
      <alignment horizontal="left" indent="2"/>
    </xf>
    <xf numFmtId="0" fontId="17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left" vertical="center" indent="2"/>
    </xf>
    <xf numFmtId="0" fontId="18" fillId="0" borderId="9" xfId="0" applyFont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center" vertical="center" wrapText="1"/>
    </xf>
    <xf numFmtId="3" fontId="17" fillId="11" borderId="3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vertical="center" wrapText="1"/>
    </xf>
    <xf numFmtId="3" fontId="17" fillId="7" borderId="3" xfId="0" applyNumberFormat="1" applyFont="1" applyFill="1" applyBorder="1" applyAlignment="1">
      <alignment horizontal="left" wrapText="1"/>
    </xf>
    <xf numFmtId="0" fontId="47" fillId="0" borderId="3" xfId="0" applyFont="1" applyFill="1" applyBorder="1" applyAlignment="1">
      <alignment horizontal="center" vertical="center" wrapText="1"/>
    </xf>
    <xf numFmtId="3" fontId="42" fillId="0" borderId="111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0" fontId="43" fillId="0" borderId="112" xfId="0" applyFont="1" applyFill="1" applyBorder="1" applyAlignment="1">
      <alignment horizontal="center" vertical="center"/>
    </xf>
    <xf numFmtId="0" fontId="43" fillId="0" borderId="11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3" fontId="4" fillId="2" borderId="1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8"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sz val="12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2"/>
      </font>
      <fill>
        <patternFill patternType="solid">
          <fgColor indexed="36"/>
          <bgColor indexed="2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7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7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9525</xdr:rowOff>
    </xdr:from>
    <xdr:to>
      <xdr:col>2</xdr:col>
      <xdr:colOff>819150</xdr:colOff>
      <xdr:row>2</xdr:row>
      <xdr:rowOff>257175</xdr:rowOff>
    </xdr:to>
    <xdr:sp macro="" textlink="" fLocksText="0">
      <xdr:nvSpPr>
        <xdr:cNvPr id="1025" name="Text Box 16"/>
        <xdr:cNvSpPr txBox="1">
          <a:spLocks noChangeArrowheads="1"/>
        </xdr:cNvSpPr>
      </xdr:nvSpPr>
      <xdr:spPr bwMode="auto">
        <a:xfrm>
          <a:off x="704850" y="323850"/>
          <a:ext cx="81438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    Pozostałe zadania w zakresie polityki społecznej</a:t>
          </a:r>
        </a:p>
      </xdr:txBody>
    </xdr:sp>
    <xdr:clientData/>
  </xdr:twoCellAnchor>
  <xdr:oneCellAnchor>
    <xdr:from>
      <xdr:col>1</xdr:col>
      <xdr:colOff>338818</xdr:colOff>
      <xdr:row>5</xdr:row>
      <xdr:rowOff>164887</xdr:rowOff>
    </xdr:from>
    <xdr:ext cx="4610202" cy="576718"/>
    <xdr:sp macro="" textlink="" fLocksText="0">
      <xdr:nvSpPr>
        <xdr:cNvPr id="1026" name="Text Box 17"/>
        <xdr:cNvSpPr txBox="1">
          <a:spLocks noChangeArrowheads="1"/>
        </xdr:cNvSpPr>
      </xdr:nvSpPr>
      <xdr:spPr bwMode="auto">
        <a:xfrm>
          <a:off x="896711" y="1511994"/>
          <a:ext cx="4610202" cy="576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85324    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Osób Niepełnosprawnych</a:t>
          </a:r>
        </a:p>
      </xdr:txBody>
    </xdr:sp>
    <xdr:clientData/>
  </xdr:oneCellAnchor>
  <xdr:oneCellAnchor>
    <xdr:from>
      <xdr:col>1</xdr:col>
      <xdr:colOff>1077686</xdr:colOff>
      <xdr:row>9</xdr:row>
      <xdr:rowOff>4363</xdr:rowOff>
    </xdr:from>
    <xdr:ext cx="3711879" cy="576718"/>
    <xdr:sp macro="" textlink="" fLocksText="0">
      <xdr:nvSpPr>
        <xdr:cNvPr id="1027" name="Text Box 18"/>
        <xdr:cNvSpPr txBox="1">
          <a:spLocks noChangeArrowheads="1"/>
        </xdr:cNvSpPr>
      </xdr:nvSpPr>
      <xdr:spPr bwMode="auto">
        <a:xfrm>
          <a:off x="1635579" y="2317577"/>
          <a:ext cx="3711879" cy="576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Osób Niepełnosprawnych</a:t>
          </a:r>
        </a:p>
      </xdr:txBody>
    </xdr:sp>
    <xdr:clientData/>
  </xdr:oneCellAnchor>
  <xdr:twoCellAnchor>
    <xdr:from>
      <xdr:col>1</xdr:col>
      <xdr:colOff>7429500</xdr:colOff>
      <xdr:row>0</xdr:row>
      <xdr:rowOff>104775</xdr:rowOff>
    </xdr:from>
    <xdr:to>
      <xdr:col>4</xdr:col>
      <xdr:colOff>19050</xdr:colOff>
      <xdr:row>5</xdr:row>
      <xdr:rowOff>9525</xdr:rowOff>
    </xdr:to>
    <xdr:sp macro="" textlink="" fLocksText="0">
      <xdr:nvSpPr>
        <xdr:cNvPr id="1028" name="Text Box 20"/>
        <xdr:cNvSpPr txBox="1">
          <a:spLocks noChangeArrowheads="1"/>
        </xdr:cNvSpPr>
      </xdr:nvSpPr>
      <xdr:spPr bwMode="auto">
        <a:xfrm>
          <a:off x="7981950" y="104775"/>
          <a:ext cx="2371725" cy="1247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6360" rIns="0" bIns="0" anchor="t"/>
        <a:lstStyle/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Załącznik</a:t>
          </a:r>
        </a:p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do uchwały nr                   /2009</a:t>
          </a:r>
        </a:p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Zarządu PFRON</a:t>
          </a:r>
        </a:p>
        <a:p>
          <a:pPr algn="l" rtl="0">
            <a:lnSpc>
              <a:spcPts val="1600"/>
            </a:lnSpc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 dnia                      2009 roku.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8166</xdr:colOff>
      <xdr:row>1</xdr:row>
      <xdr:rowOff>95250</xdr:rowOff>
    </xdr:from>
    <xdr:to>
      <xdr:col>1</xdr:col>
      <xdr:colOff>7483930</xdr:colOff>
      <xdr:row>3</xdr:row>
      <xdr:rowOff>28575</xdr:rowOff>
    </xdr:to>
    <xdr:sp macro="" textlink="" fLocksText="0">
      <xdr:nvSpPr>
        <xdr:cNvPr id="2049" name="Text Box 9"/>
        <xdr:cNvSpPr txBox="1">
          <a:spLocks noChangeArrowheads="1"/>
        </xdr:cNvSpPr>
      </xdr:nvSpPr>
      <xdr:spPr bwMode="auto">
        <a:xfrm>
          <a:off x="620487" y="408214"/>
          <a:ext cx="7475764" cy="4503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    Pozostałe zadania w zakresie polityki społecznej</a:t>
          </a:r>
        </a:p>
      </xdr:txBody>
    </xdr:sp>
    <xdr:clientData/>
  </xdr:twoCellAnchor>
  <xdr:oneCellAnchor>
    <xdr:from>
      <xdr:col>1</xdr:col>
      <xdr:colOff>100693</xdr:colOff>
      <xdr:row>5</xdr:row>
      <xdr:rowOff>342929</xdr:rowOff>
    </xdr:from>
    <xdr:ext cx="4610202" cy="576718"/>
    <xdr:sp macro="" textlink="" fLocksText="0">
      <xdr:nvSpPr>
        <xdr:cNvPr id="2050" name="Text Box 10"/>
        <xdr:cNvSpPr txBox="1">
          <a:spLocks noChangeArrowheads="1"/>
        </xdr:cNvSpPr>
      </xdr:nvSpPr>
      <xdr:spPr bwMode="auto">
        <a:xfrm>
          <a:off x="713014" y="1690036"/>
          <a:ext cx="4610202" cy="576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85324    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Osób Niepełnosprawnych</a:t>
          </a:r>
        </a:p>
      </xdr:txBody>
    </xdr:sp>
    <xdr:clientData/>
  </xdr:oneCellAnchor>
  <xdr:oneCellAnchor>
    <xdr:from>
      <xdr:col>1</xdr:col>
      <xdr:colOff>771525</xdr:colOff>
      <xdr:row>8</xdr:row>
      <xdr:rowOff>45268</xdr:rowOff>
    </xdr:from>
    <xdr:ext cx="3711879" cy="576718"/>
    <xdr:sp macro="" textlink="" fLocksText="0">
      <xdr:nvSpPr>
        <xdr:cNvPr id="2051" name="Text Box 11"/>
        <xdr:cNvSpPr txBox="1">
          <a:spLocks noChangeArrowheads="1"/>
        </xdr:cNvSpPr>
      </xdr:nvSpPr>
      <xdr:spPr bwMode="auto">
        <a:xfrm>
          <a:off x="1383846" y="2657839"/>
          <a:ext cx="3711879" cy="576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Osób Niepełnosprawnych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15" name="Line 1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16" name="Line 2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17" name="Line 3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18" name="Line 4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1" name="Line 7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2" name="Line 8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3" name="Line 9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4" name="Line 10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5" name="Line 11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6" name="Line 12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7" name="Line 14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8" name="Line 15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29" name="Line 16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0" name="Line 17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1" name="Line 18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2" name="Line 19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3" name="Line 20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4" name="Line 21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5" name="Line 22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6" name="Line 23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7" name="Line 24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8" name="Line 25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39" name="Line 26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0" name="Line 27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1" name="Line 28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2" name="Line 29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3" name="Line 30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4" name="Line 31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5" name="Line 33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6" name="Line 34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7" name="Line 35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8" name="Line 36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49" name="Line 37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450" name="Line 38"/>
        <xdr:cNvSpPr>
          <a:spLocks noChangeShapeType="1"/>
        </xdr:cNvSpPr>
      </xdr:nvSpPr>
      <xdr:spPr bwMode="auto">
        <a:xfrm>
          <a:off x="9324975" y="36385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152400</xdr:rowOff>
    </xdr:to>
    <xdr:sp macro="" textlink="" fLocksText="0">
      <xdr:nvSpPr>
        <xdr:cNvPr id="3109" name="Text Box 39"/>
        <xdr:cNvSpPr txBox="1">
          <a:spLocks noChangeArrowheads="1"/>
        </xdr:cNvSpPr>
      </xdr:nvSpPr>
      <xdr:spPr bwMode="auto">
        <a:xfrm>
          <a:off x="9324975" y="200025"/>
          <a:ext cx="0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1680" rIns="0" bIns="0" anchor="t"/>
        <a:lstStyle/>
        <a:p>
          <a:pPr algn="l" rtl="0">
            <a:defRPr sz="1000"/>
          </a:pPr>
          <a:endParaRPr lang="pl-PL" sz="1600" b="1" i="1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l" rtl="0">
            <a:defRPr sz="1000"/>
          </a:pPr>
          <a:endParaRPr lang="pl-PL" sz="1600" b="1" i="1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8"/>
  <sheetViews>
    <sheetView view="pageBreakPreview" topLeftCell="A254" zoomScale="70" zoomScaleNormal="75" zoomScaleSheetLayoutView="70" workbookViewId="0">
      <selection activeCell="E118" sqref="E118"/>
    </sheetView>
  </sheetViews>
  <sheetFormatPr defaultRowHeight="15.75" x14ac:dyDescent="0.25"/>
  <cols>
    <col min="1" max="1" width="7.25" style="1" customWidth="1"/>
    <col min="2" max="2" width="98.125" style="2" customWidth="1"/>
    <col min="3" max="3" width="11" style="3" customWidth="1"/>
    <col min="4" max="4" width="19.25" style="4" hidden="1" customWidth="1"/>
    <col min="5" max="5" width="21.125" style="4" customWidth="1"/>
    <col min="6" max="6" width="26.125" style="4" hidden="1" customWidth="1"/>
    <col min="7" max="8" width="17.125" style="4" hidden="1" customWidth="1"/>
    <col min="9" max="9" width="0" style="5" hidden="1" customWidth="1"/>
    <col min="10" max="10" width="15.625" style="4" customWidth="1"/>
    <col min="11" max="11" width="17.375" style="4" customWidth="1"/>
    <col min="12" max="12" width="32.125" style="5" customWidth="1"/>
    <col min="13" max="13" width="17.125" style="5" customWidth="1"/>
    <col min="14" max="14" width="23.75" style="5" customWidth="1"/>
    <col min="15" max="15" width="15" style="5" customWidth="1"/>
    <col min="16" max="16" width="13.25" style="5" customWidth="1"/>
    <col min="17" max="17" width="13.125" style="5" customWidth="1"/>
    <col min="18" max="16384" width="9" style="5"/>
  </cols>
  <sheetData>
    <row r="1" spans="1:14" s="9" customFormat="1" ht="24.95" customHeight="1" x14ac:dyDescent="0.3">
      <c r="A1" s="1077" t="s">
        <v>0</v>
      </c>
      <c r="B1" s="1077"/>
      <c r="C1" s="6"/>
      <c r="D1" s="7"/>
      <c r="E1" s="7"/>
      <c r="F1" s="7"/>
      <c r="G1" s="7"/>
      <c r="H1" s="7"/>
      <c r="I1" s="8"/>
      <c r="J1" s="7"/>
      <c r="K1" s="7"/>
    </row>
    <row r="2" spans="1:14" x14ac:dyDescent="0.25">
      <c r="A2" s="1076" t="s">
        <v>1</v>
      </c>
      <c r="B2" s="1076"/>
      <c r="D2" s="10"/>
      <c r="E2" s="10"/>
      <c r="F2" s="10"/>
      <c r="G2" s="10"/>
      <c r="H2" s="10"/>
      <c r="J2" s="10"/>
      <c r="K2" s="10"/>
    </row>
    <row r="3" spans="1:14" s="9" customFormat="1" ht="24.95" customHeight="1" x14ac:dyDescent="0.3">
      <c r="A3" s="1077" t="s">
        <v>2</v>
      </c>
      <c r="B3" s="1077"/>
      <c r="C3" s="6"/>
      <c r="D3" s="11"/>
      <c r="E3" s="11"/>
      <c r="F3" s="11"/>
      <c r="G3" s="11"/>
      <c r="H3" s="11"/>
      <c r="J3" s="11"/>
      <c r="K3" s="11"/>
    </row>
    <row r="4" spans="1:14" x14ac:dyDescent="0.25">
      <c r="A4" s="1076" t="s">
        <v>1</v>
      </c>
      <c r="B4" s="1076"/>
      <c r="D4" s="10"/>
      <c r="E4" s="10"/>
      <c r="F4" s="10"/>
      <c r="G4" s="10"/>
      <c r="H4" s="10"/>
      <c r="J4" s="10"/>
      <c r="K4" s="10"/>
    </row>
    <row r="5" spans="1:14" s="9" customFormat="1" ht="24.95" customHeight="1" x14ac:dyDescent="0.3">
      <c r="A5" s="1077" t="s">
        <v>3</v>
      </c>
      <c r="B5" s="1077"/>
      <c r="C5" s="6"/>
      <c r="D5" s="11"/>
      <c r="E5" s="11"/>
      <c r="F5" s="11"/>
      <c r="G5" s="11"/>
      <c r="H5" s="11"/>
      <c r="J5" s="11"/>
      <c r="K5" s="11"/>
    </row>
    <row r="6" spans="1:14" x14ac:dyDescent="0.25">
      <c r="A6" s="1076" t="s">
        <v>1</v>
      </c>
      <c r="B6" s="1076"/>
      <c r="D6" s="10"/>
      <c r="E6" s="10"/>
      <c r="F6" s="10"/>
      <c r="G6" s="10"/>
      <c r="H6" s="10"/>
      <c r="J6" s="10"/>
      <c r="K6" s="10"/>
    </row>
    <row r="7" spans="1:14" ht="18.75" x14ac:dyDescent="0.3">
      <c r="A7" s="12"/>
      <c r="B7" s="12"/>
      <c r="D7" s="10"/>
      <c r="E7" s="10"/>
      <c r="F7" s="11"/>
      <c r="G7" s="11"/>
      <c r="H7" s="11"/>
      <c r="J7" s="10"/>
      <c r="K7" s="10"/>
    </row>
    <row r="8" spans="1:14" s="9" customFormat="1" ht="24.95" customHeight="1" x14ac:dyDescent="0.3">
      <c r="A8" s="1077" t="s">
        <v>4</v>
      </c>
      <c r="B8" s="1077"/>
      <c r="C8" s="6"/>
      <c r="D8" s="11"/>
      <c r="E8" s="11"/>
      <c r="F8" s="11"/>
      <c r="G8" s="11"/>
      <c r="H8" s="11"/>
      <c r="J8" s="11"/>
      <c r="K8" s="11"/>
    </row>
    <row r="9" spans="1:14" x14ac:dyDescent="0.25">
      <c r="A9" s="1076"/>
      <c r="B9" s="1076"/>
      <c r="D9" s="10"/>
      <c r="E9" s="10"/>
      <c r="F9" s="10"/>
      <c r="G9" s="10"/>
      <c r="H9" s="10"/>
      <c r="J9" s="10"/>
      <c r="K9" s="10"/>
    </row>
    <row r="10" spans="1:14" ht="15.75" customHeight="1" x14ac:dyDescent="0.25">
      <c r="A10" s="1080"/>
      <c r="B10" s="1080"/>
      <c r="C10" s="1080"/>
      <c r="D10" s="10"/>
      <c r="E10" s="10"/>
      <c r="F10" s="10"/>
      <c r="G10" s="10"/>
      <c r="H10" s="10"/>
      <c r="J10" s="10"/>
      <c r="K10" s="10"/>
    </row>
    <row r="11" spans="1:14" s="8" customFormat="1" ht="18.75" x14ac:dyDescent="0.3">
      <c r="A11" s="1080"/>
      <c r="B11" s="1080"/>
      <c r="C11" s="1080"/>
      <c r="D11" s="13"/>
      <c r="E11" s="13"/>
      <c r="F11" s="13"/>
      <c r="G11" s="13"/>
      <c r="H11" s="13"/>
      <c r="I11" s="14"/>
      <c r="J11" s="13"/>
      <c r="K11" s="13"/>
    </row>
    <row r="12" spans="1:14" s="8" customFormat="1" ht="18.75" x14ac:dyDescent="0.3">
      <c r="A12" s="1081" t="s">
        <v>5</v>
      </c>
      <c r="B12" s="1081"/>
      <c r="C12" s="1081"/>
      <c r="D12" s="13"/>
      <c r="E12" s="13"/>
      <c r="F12" s="13"/>
      <c r="G12" s="13"/>
      <c r="H12" s="13"/>
      <c r="I12" s="14"/>
      <c r="J12" s="13"/>
      <c r="K12" s="13"/>
    </row>
    <row r="13" spans="1:14" s="8" customFormat="1" ht="18.75" customHeight="1" thickBot="1" x14ac:dyDescent="0.35">
      <c r="A13" s="15" t="s">
        <v>6</v>
      </c>
      <c r="B13" s="16"/>
      <c r="C13" s="16"/>
      <c r="D13" s="17"/>
      <c r="E13" s="17"/>
      <c r="F13" s="17"/>
      <c r="G13" s="17"/>
      <c r="H13" s="18"/>
      <c r="I13" s="16"/>
      <c r="J13" s="17"/>
      <c r="K13" s="17"/>
    </row>
    <row r="14" spans="1:14" s="21" customFormat="1" ht="83.25" customHeight="1" thickBot="1" x14ac:dyDescent="0.3">
      <c r="A14" s="1082" t="s">
        <v>7</v>
      </c>
      <c r="B14" s="1083" t="s">
        <v>8</v>
      </c>
      <c r="C14" s="1083"/>
      <c r="D14" s="19" t="s">
        <v>9</v>
      </c>
      <c r="E14" s="19" t="s">
        <v>672</v>
      </c>
      <c r="F14" s="19" t="s">
        <v>10</v>
      </c>
      <c r="G14" s="19" t="s">
        <v>11</v>
      </c>
      <c r="H14" s="19" t="s">
        <v>12</v>
      </c>
      <c r="I14" s="20" t="s">
        <v>13</v>
      </c>
      <c r="J14" s="19" t="s">
        <v>664</v>
      </c>
      <c r="K14" s="19" t="s">
        <v>665</v>
      </c>
    </row>
    <row r="15" spans="1:14" s="21" customFormat="1" ht="16.5" customHeight="1" thickBot="1" x14ac:dyDescent="0.3">
      <c r="A15" s="1082"/>
      <c r="B15" s="1083"/>
      <c r="C15" s="1083"/>
      <c r="D15" s="1078" t="s">
        <v>14</v>
      </c>
      <c r="E15" s="1079"/>
      <c r="F15" s="1079"/>
      <c r="G15" s="1079"/>
      <c r="H15" s="1079"/>
      <c r="I15" s="1079"/>
      <c r="J15" s="1079"/>
      <c r="K15" s="1079"/>
      <c r="L15" s="23"/>
      <c r="N15" s="21">
        <f>51345-46000</f>
        <v>5345</v>
      </c>
    </row>
    <row r="16" spans="1:14" s="29" customFormat="1" ht="13.5" thickBot="1" x14ac:dyDescent="0.2">
      <c r="A16" s="24">
        <v>1</v>
      </c>
      <c r="B16" s="25">
        <v>2</v>
      </c>
      <c r="C16" s="26"/>
      <c r="D16" s="27">
        <v>3</v>
      </c>
      <c r="E16" s="27">
        <v>4</v>
      </c>
      <c r="F16" s="27">
        <v>5</v>
      </c>
      <c r="G16" s="27">
        <v>6</v>
      </c>
      <c r="H16" s="27">
        <v>7</v>
      </c>
      <c r="I16" s="28">
        <v>5</v>
      </c>
      <c r="J16" s="27">
        <v>5</v>
      </c>
      <c r="K16" s="27">
        <v>6</v>
      </c>
    </row>
    <row r="17" spans="1:17" s="29" customFormat="1" ht="9.9499999999999993" customHeight="1" x14ac:dyDescent="0.15">
      <c r="A17" s="30"/>
      <c r="B17" s="31"/>
      <c r="C17" s="32"/>
      <c r="D17" s="33"/>
      <c r="E17" s="33"/>
      <c r="F17" s="33"/>
      <c r="G17" s="33"/>
      <c r="H17" s="33"/>
      <c r="I17" s="34"/>
      <c r="J17" s="33"/>
      <c r="K17" s="33"/>
    </row>
    <row r="18" spans="1:17" s="37" customFormat="1" x14ac:dyDescent="0.25">
      <c r="A18" s="35" t="s">
        <v>15</v>
      </c>
      <c r="B18" s="1085" t="s">
        <v>16</v>
      </c>
      <c r="C18" s="1085"/>
      <c r="D18" s="36" t="e">
        <f>SUM(D19:D20)</f>
        <v>#REF!</v>
      </c>
      <c r="E18" s="36">
        <f>SUM(E19:E20)</f>
        <v>4993040</v>
      </c>
      <c r="F18" s="36">
        <f t="shared" ref="F18:K18" si="0">SUM(F19:F20)</f>
        <v>4966014</v>
      </c>
      <c r="G18" s="36">
        <f t="shared" si="0"/>
        <v>5062735</v>
      </c>
      <c r="H18" s="36">
        <f t="shared" si="0"/>
        <v>5206064</v>
      </c>
      <c r="I18" s="36" t="e">
        <f t="shared" si="0"/>
        <v>#VALUE!</v>
      </c>
      <c r="J18" s="36">
        <f t="shared" si="0"/>
        <v>0</v>
      </c>
      <c r="K18" s="36">
        <f t="shared" si="0"/>
        <v>4993040</v>
      </c>
      <c r="P18" s="37" t="e">
        <f>"$#ODWOŁANIE$#ODWOŁANIE"*0.3</f>
        <v>#VALUE!</v>
      </c>
    </row>
    <row r="19" spans="1:17" s="37" customFormat="1" x14ac:dyDescent="0.25">
      <c r="A19" s="38"/>
      <c r="B19" s="1086" t="s">
        <v>17</v>
      </c>
      <c r="C19" s="1086"/>
      <c r="D19" s="39" t="e">
        <f>SUM(D23,D26,D27,D28,D30,D34,D36,D39,D41,D43,D45:D46,D55,D57,D32,D59)</f>
        <v>#REF!</v>
      </c>
      <c r="E19" s="39">
        <f>SUM(E23,E26,E27,E28,E30,E34,E36,E39,E41,E43,E45:E46,E55,E57,E32,E59)</f>
        <v>4823567</v>
      </c>
      <c r="F19" s="39">
        <f t="shared" ref="F19:K19" si="1">SUM(F23,F26,F27,F28,F30,F34,F36,F39,F41,F43,F45:F46,F55,F57,F32,F59)</f>
        <v>4771551</v>
      </c>
      <c r="G19" s="39">
        <f t="shared" si="1"/>
        <v>4879678</v>
      </c>
      <c r="H19" s="39">
        <f t="shared" si="1"/>
        <v>5024964</v>
      </c>
      <c r="I19" s="39" t="e">
        <f t="shared" si="1"/>
        <v>#VALUE!</v>
      </c>
      <c r="J19" s="39">
        <f t="shared" si="1"/>
        <v>0</v>
      </c>
      <c r="K19" s="39">
        <f t="shared" si="1"/>
        <v>4823567</v>
      </c>
    </row>
    <row r="20" spans="1:17" s="37" customFormat="1" x14ac:dyDescent="0.25">
      <c r="A20" s="40"/>
      <c r="B20" s="1087" t="s">
        <v>18</v>
      </c>
      <c r="C20" s="1087"/>
      <c r="D20" s="41">
        <f>SUM(D24,D31,D35,D56,D44,D40)</f>
        <v>130878</v>
      </c>
      <c r="E20" s="41">
        <f>SUM(E24,E31,E35,E56,E44,E40)</f>
        <v>169473</v>
      </c>
      <c r="F20" s="41">
        <f t="shared" ref="F20:K20" si="2">SUM(F24,F31,F35,F56,F44,F40)</f>
        <v>194463</v>
      </c>
      <c r="G20" s="41">
        <f t="shared" si="2"/>
        <v>183057</v>
      </c>
      <c r="H20" s="41">
        <f t="shared" si="2"/>
        <v>181100</v>
      </c>
      <c r="I20" s="41">
        <f t="shared" si="2"/>
        <v>0</v>
      </c>
      <c r="J20" s="41">
        <f t="shared" si="2"/>
        <v>0</v>
      </c>
      <c r="K20" s="41">
        <f t="shared" si="2"/>
        <v>169473</v>
      </c>
    </row>
    <row r="21" spans="1:17" s="44" customFormat="1" ht="12.75" customHeight="1" x14ac:dyDescent="0.25">
      <c r="A21" s="42"/>
      <c r="B21" s="1088"/>
      <c r="C21" s="1088"/>
      <c r="D21" s="43"/>
      <c r="E21" s="43"/>
      <c r="F21" s="43"/>
      <c r="G21" s="43"/>
      <c r="H21" s="43"/>
      <c r="I21" s="43"/>
      <c r="J21" s="43"/>
      <c r="K21" s="43"/>
    </row>
    <row r="22" spans="1:17" s="48" customFormat="1" x14ac:dyDescent="0.25">
      <c r="A22" s="45" t="s">
        <v>19</v>
      </c>
      <c r="B22" s="1089" t="s">
        <v>20</v>
      </c>
      <c r="C22" s="1089"/>
      <c r="D22" s="47">
        <f>SUM(D23:D24)</f>
        <v>47133</v>
      </c>
      <c r="E22" s="47">
        <f>SUM(E23:E24)</f>
        <v>60000</v>
      </c>
      <c r="F22" s="47">
        <f t="shared" ref="F22:K22" si="3">SUM(F23:F24)</f>
        <v>78000</v>
      </c>
      <c r="G22" s="47">
        <f t="shared" si="3"/>
        <v>78000</v>
      </c>
      <c r="H22" s="47">
        <f t="shared" si="3"/>
        <v>78000</v>
      </c>
      <c r="I22" s="47">
        <f t="shared" si="3"/>
        <v>0</v>
      </c>
      <c r="J22" s="47">
        <f t="shared" si="3"/>
        <v>0</v>
      </c>
      <c r="K22" s="47">
        <f t="shared" si="3"/>
        <v>60000</v>
      </c>
    </row>
    <row r="23" spans="1:17" s="51" customFormat="1" x14ac:dyDescent="0.25">
      <c r="A23" s="49" t="s">
        <v>21</v>
      </c>
      <c r="B23" s="1090" t="s">
        <v>17</v>
      </c>
      <c r="C23" s="1090"/>
      <c r="D23" s="50">
        <f>D117+D150</f>
        <v>1800</v>
      </c>
      <c r="E23" s="50">
        <f>E117+E150</f>
        <v>1500</v>
      </c>
      <c r="F23" s="50">
        <f t="shared" ref="F23:K23" si="4">F117+F150</f>
        <v>6900</v>
      </c>
      <c r="G23" s="50">
        <f t="shared" si="4"/>
        <v>6900</v>
      </c>
      <c r="H23" s="50">
        <f t="shared" si="4"/>
        <v>6900</v>
      </c>
      <c r="I23" s="50">
        <f t="shared" si="4"/>
        <v>0</v>
      </c>
      <c r="J23" s="50">
        <f t="shared" si="4"/>
        <v>0</v>
      </c>
      <c r="K23" s="50">
        <f t="shared" si="4"/>
        <v>1500</v>
      </c>
    </row>
    <row r="24" spans="1:17" s="51" customFormat="1" x14ac:dyDescent="0.25">
      <c r="A24" s="49" t="s">
        <v>22</v>
      </c>
      <c r="B24" s="1090" t="s">
        <v>18</v>
      </c>
      <c r="C24" s="1090"/>
      <c r="D24" s="50">
        <f>SUM(D248+D265)</f>
        <v>45333</v>
      </c>
      <c r="E24" s="50">
        <f>SUM(E248+E265)</f>
        <v>58500</v>
      </c>
      <c r="F24" s="50">
        <f t="shared" ref="F24:K24" si="5">SUM(F248+F265)</f>
        <v>71100</v>
      </c>
      <c r="G24" s="50">
        <f t="shared" si="5"/>
        <v>71100</v>
      </c>
      <c r="H24" s="50">
        <f t="shared" si="5"/>
        <v>71100</v>
      </c>
      <c r="I24" s="50">
        <f t="shared" si="5"/>
        <v>0</v>
      </c>
      <c r="J24" s="50">
        <f t="shared" si="5"/>
        <v>0</v>
      </c>
      <c r="K24" s="50">
        <f t="shared" si="5"/>
        <v>58500</v>
      </c>
      <c r="M24" s="52"/>
      <c r="N24" s="53"/>
      <c r="O24" s="52"/>
      <c r="P24" s="52"/>
    </row>
    <row r="25" spans="1:17" s="48" customFormat="1" ht="23.25" x14ac:dyDescent="0.35">
      <c r="A25" s="45" t="s">
        <v>23</v>
      </c>
      <c r="B25" s="1089" t="s">
        <v>24</v>
      </c>
      <c r="C25" s="1089"/>
      <c r="D25" s="47">
        <f t="shared" ref="D25:K25" si="6">SUM(D26:D26)</f>
        <v>72346</v>
      </c>
      <c r="E25" s="47">
        <f t="shared" si="6"/>
        <v>71753</v>
      </c>
      <c r="F25" s="47">
        <f t="shared" si="6"/>
        <v>5187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71753</v>
      </c>
      <c r="L25" s="54"/>
      <c r="M25" s="1002">
        <v>2013</v>
      </c>
      <c r="N25" s="1002">
        <v>2014</v>
      </c>
      <c r="O25" s="1002">
        <v>2015</v>
      </c>
      <c r="P25" s="1002">
        <v>2016</v>
      </c>
      <c r="Q25" s="1002">
        <v>2017</v>
      </c>
    </row>
    <row r="26" spans="1:17" s="51" customFormat="1" ht="23.25" x14ac:dyDescent="0.35">
      <c r="A26" s="49" t="s">
        <v>25</v>
      </c>
      <c r="B26" s="1090" t="s">
        <v>17</v>
      </c>
      <c r="C26" s="1090"/>
      <c r="D26" s="50">
        <f>SUM(D116,D149,D193,D194)</f>
        <v>72346</v>
      </c>
      <c r="E26" s="50">
        <f>SUM(E116,E149,E193,E194)</f>
        <v>71753</v>
      </c>
      <c r="F26" s="50">
        <f t="shared" ref="F26:K26" si="7">SUM(F116,F149,F193,F194)</f>
        <v>5187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0">
        <f t="shared" si="7"/>
        <v>71753</v>
      </c>
      <c r="L26" s="55" t="s">
        <v>26</v>
      </c>
      <c r="M26" s="1003" t="s">
        <v>26</v>
      </c>
      <c r="N26" s="1003" t="s">
        <v>26</v>
      </c>
      <c r="O26" s="1003" t="s">
        <v>26</v>
      </c>
      <c r="P26" s="1003" t="s">
        <v>26</v>
      </c>
      <c r="Q26" s="1003" t="s">
        <v>26</v>
      </c>
    </row>
    <row r="27" spans="1:17" s="48" customFormat="1" ht="22.5" x14ac:dyDescent="0.25">
      <c r="A27" s="45" t="s">
        <v>27</v>
      </c>
      <c r="B27" s="1089" t="s">
        <v>28</v>
      </c>
      <c r="C27" s="1089"/>
      <c r="D27" s="47">
        <f>SUM(D153)</f>
        <v>3156132</v>
      </c>
      <c r="E27" s="47">
        <f>SUM(E153)</f>
        <v>3115684</v>
      </c>
      <c r="F27" s="47">
        <f t="shared" ref="F27:K27" si="8">SUM(F153)</f>
        <v>2930000</v>
      </c>
      <c r="G27" s="47">
        <f t="shared" si="8"/>
        <v>2960000</v>
      </c>
      <c r="H27" s="47">
        <f t="shared" si="8"/>
        <v>2990000</v>
      </c>
      <c r="I27" s="47">
        <f t="shared" si="8"/>
        <v>0</v>
      </c>
      <c r="J27" s="47">
        <f t="shared" si="8"/>
        <v>0</v>
      </c>
      <c r="K27" s="47">
        <f t="shared" si="8"/>
        <v>3115684</v>
      </c>
      <c r="L27" s="1004"/>
      <c r="M27" s="1005">
        <f>INT(D27*0.3)</f>
        <v>946839</v>
      </c>
      <c r="N27" s="1005">
        <f>INT(F27*0.3)</f>
        <v>879000</v>
      </c>
      <c r="O27" s="1005">
        <f>INT(G27*0.3)</f>
        <v>888000</v>
      </c>
      <c r="P27" s="1005">
        <f>INT(H27*0.3)</f>
        <v>897000</v>
      </c>
      <c r="Q27" s="1005">
        <f>INT(I27*0.3)</f>
        <v>0</v>
      </c>
    </row>
    <row r="28" spans="1:17" s="48" customFormat="1" ht="40.5" customHeight="1" x14ac:dyDescent="0.25">
      <c r="A28" s="45" t="s">
        <v>29</v>
      </c>
      <c r="B28" s="1084" t="s">
        <v>30</v>
      </c>
      <c r="C28" s="1084"/>
      <c r="D28" s="47">
        <f>SUM(D118)</f>
        <v>50000</v>
      </c>
      <c r="E28" s="47">
        <f>SUM(E118)</f>
        <v>55000</v>
      </c>
      <c r="F28" s="47">
        <f t="shared" ref="F28:K28" si="9">SUM(F118)</f>
        <v>55000</v>
      </c>
      <c r="G28" s="47">
        <f t="shared" si="9"/>
        <v>55000</v>
      </c>
      <c r="H28" s="47">
        <f t="shared" si="9"/>
        <v>55000</v>
      </c>
      <c r="I28" s="47">
        <f t="shared" si="9"/>
        <v>0</v>
      </c>
      <c r="J28" s="47">
        <f t="shared" si="9"/>
        <v>0</v>
      </c>
      <c r="K28" s="47">
        <f t="shared" si="9"/>
        <v>55000</v>
      </c>
    </row>
    <row r="29" spans="1:17" s="48" customFormat="1" x14ac:dyDescent="0.25">
      <c r="A29" s="45" t="s">
        <v>31</v>
      </c>
      <c r="B29" s="1089" t="s">
        <v>32</v>
      </c>
      <c r="C29" s="1089"/>
      <c r="D29" s="47">
        <f>SUM(D30:D31)</f>
        <v>3600</v>
      </c>
      <c r="E29" s="47">
        <f>SUM(E30:E31)</f>
        <v>5200</v>
      </c>
      <c r="F29" s="47">
        <f t="shared" ref="F29:K29" si="10">SUM(F30:F31)</f>
        <v>5100</v>
      </c>
      <c r="G29" s="47">
        <f t="shared" si="10"/>
        <v>5100</v>
      </c>
      <c r="H29" s="47">
        <f t="shared" si="10"/>
        <v>5100</v>
      </c>
      <c r="I29" s="47">
        <f t="shared" si="10"/>
        <v>0</v>
      </c>
      <c r="J29" s="47">
        <f t="shared" si="10"/>
        <v>0</v>
      </c>
      <c r="K29" s="47">
        <f t="shared" si="10"/>
        <v>5200</v>
      </c>
    </row>
    <row r="30" spans="1:17" s="51" customFormat="1" x14ac:dyDescent="0.25">
      <c r="A30" s="49" t="s">
        <v>33</v>
      </c>
      <c r="B30" s="1090" t="s">
        <v>17</v>
      </c>
      <c r="C30" s="1090"/>
      <c r="D30" s="50">
        <f>SUM(D119,D155)</f>
        <v>3516</v>
      </c>
      <c r="E30" s="50">
        <f>SUM(E119,E155)</f>
        <v>5000</v>
      </c>
      <c r="F30" s="50">
        <f t="shared" ref="F30:K30" si="11">SUM(F119,F155)</f>
        <v>5000</v>
      </c>
      <c r="G30" s="50">
        <f t="shared" si="11"/>
        <v>5000</v>
      </c>
      <c r="H30" s="50">
        <f t="shared" si="11"/>
        <v>5000</v>
      </c>
      <c r="I30" s="50">
        <f t="shared" si="11"/>
        <v>0</v>
      </c>
      <c r="J30" s="50">
        <f t="shared" si="11"/>
        <v>0</v>
      </c>
      <c r="K30" s="50">
        <f t="shared" si="11"/>
        <v>5000</v>
      </c>
    </row>
    <row r="31" spans="1:17" s="51" customFormat="1" x14ac:dyDescent="0.25">
      <c r="A31" s="49" t="s">
        <v>34</v>
      </c>
      <c r="B31" s="1090" t="s">
        <v>18</v>
      </c>
      <c r="C31" s="1090"/>
      <c r="D31" s="50">
        <f>SUM(D250,D266)</f>
        <v>84</v>
      </c>
      <c r="E31" s="50">
        <f>SUM(E250,E266)</f>
        <v>200</v>
      </c>
      <c r="F31" s="50">
        <f t="shared" ref="F31:K31" si="12">SUM(F250,F266)</f>
        <v>100</v>
      </c>
      <c r="G31" s="50">
        <f t="shared" si="12"/>
        <v>100</v>
      </c>
      <c r="H31" s="50">
        <f t="shared" si="12"/>
        <v>100</v>
      </c>
      <c r="I31" s="50">
        <f t="shared" si="12"/>
        <v>0</v>
      </c>
      <c r="J31" s="50">
        <f t="shared" si="12"/>
        <v>0</v>
      </c>
      <c r="K31" s="50">
        <f t="shared" si="12"/>
        <v>200</v>
      </c>
    </row>
    <row r="32" spans="1:17" s="48" customFormat="1" x14ac:dyDescent="0.25">
      <c r="A32" s="45" t="s">
        <v>35</v>
      </c>
      <c r="B32" s="56" t="s">
        <v>36</v>
      </c>
      <c r="C32" s="56"/>
      <c r="D32" s="47">
        <f>D154</f>
        <v>10</v>
      </c>
      <c r="E32" s="47">
        <f>E154</f>
        <v>10</v>
      </c>
      <c r="F32" s="47">
        <f t="shared" ref="F32:K32" si="13">F154</f>
        <v>10</v>
      </c>
      <c r="G32" s="47">
        <f t="shared" si="13"/>
        <v>10</v>
      </c>
      <c r="H32" s="47">
        <f t="shared" si="13"/>
        <v>10</v>
      </c>
      <c r="I32" s="47">
        <f t="shared" si="13"/>
        <v>0</v>
      </c>
      <c r="J32" s="47">
        <f t="shared" si="13"/>
        <v>0</v>
      </c>
      <c r="K32" s="47">
        <f t="shared" si="13"/>
        <v>10</v>
      </c>
    </row>
    <row r="33" spans="1:14" s="48" customFormat="1" ht="15.75" customHeight="1" x14ac:dyDescent="0.25">
      <c r="A33" s="45" t="s">
        <v>37</v>
      </c>
      <c r="B33" s="1084" t="s">
        <v>38</v>
      </c>
      <c r="C33" s="1084"/>
      <c r="D33" s="47">
        <f>SUM(D34:D35)</f>
        <v>115485</v>
      </c>
      <c r="E33" s="47">
        <f>SUM(E34:E35)</f>
        <v>141877</v>
      </c>
      <c r="F33" s="47">
        <f t="shared" ref="F33:K33" si="14">SUM(F34:F35)</f>
        <v>248377</v>
      </c>
      <c r="G33" s="47">
        <f t="shared" si="14"/>
        <v>256077</v>
      </c>
      <c r="H33" s="47">
        <f t="shared" si="14"/>
        <v>264547</v>
      </c>
      <c r="I33" s="47">
        <f t="shared" si="14"/>
        <v>0</v>
      </c>
      <c r="J33" s="47">
        <f t="shared" si="14"/>
        <v>0</v>
      </c>
      <c r="K33" s="47">
        <f t="shared" si="14"/>
        <v>141877</v>
      </c>
    </row>
    <row r="34" spans="1:14" s="51" customFormat="1" x14ac:dyDescent="0.25">
      <c r="A34" s="49" t="s">
        <v>39</v>
      </c>
      <c r="B34" s="1090" t="s">
        <v>17</v>
      </c>
      <c r="C34" s="1090"/>
      <c r="D34" s="50">
        <f>SUM(D121,D157,D175)</f>
        <v>73921</v>
      </c>
      <c r="E34" s="50">
        <f>SUM(E121,E157,E175)</f>
        <v>81877</v>
      </c>
      <c r="F34" s="50">
        <f t="shared" ref="F34:K34" si="15">SUM(F121,F157,F175)</f>
        <v>177797</v>
      </c>
      <c r="G34" s="50">
        <f t="shared" si="15"/>
        <v>185497</v>
      </c>
      <c r="H34" s="50">
        <f t="shared" si="15"/>
        <v>193967</v>
      </c>
      <c r="I34" s="50">
        <f t="shared" si="15"/>
        <v>0</v>
      </c>
      <c r="J34" s="50">
        <f t="shared" si="15"/>
        <v>0</v>
      </c>
      <c r="K34" s="50">
        <f t="shared" si="15"/>
        <v>81877</v>
      </c>
    </row>
    <row r="35" spans="1:14" s="51" customFormat="1" x14ac:dyDescent="0.25">
      <c r="A35" s="49" t="s">
        <v>40</v>
      </c>
      <c r="B35" s="1090" t="s">
        <v>18</v>
      </c>
      <c r="C35" s="1090"/>
      <c r="D35" s="50">
        <f>SUM(D251,D269)</f>
        <v>41564</v>
      </c>
      <c r="E35" s="50">
        <f>SUM(E251,E269)</f>
        <v>60000</v>
      </c>
      <c r="F35" s="50">
        <f t="shared" ref="F35:K35" si="16">SUM(F251,F269)</f>
        <v>70580</v>
      </c>
      <c r="G35" s="50">
        <f t="shared" si="16"/>
        <v>70580</v>
      </c>
      <c r="H35" s="50">
        <f t="shared" si="16"/>
        <v>70580</v>
      </c>
      <c r="I35" s="50">
        <f t="shared" si="16"/>
        <v>0</v>
      </c>
      <c r="J35" s="50">
        <f t="shared" si="16"/>
        <v>0</v>
      </c>
      <c r="K35" s="50">
        <f t="shared" si="16"/>
        <v>60000</v>
      </c>
    </row>
    <row r="36" spans="1:14" s="48" customFormat="1" x14ac:dyDescent="0.25">
      <c r="A36" s="45" t="s">
        <v>41</v>
      </c>
      <c r="B36" s="57" t="s">
        <v>42</v>
      </c>
      <c r="C36" s="58"/>
      <c r="D36" s="47">
        <f t="shared" ref="D36:K36" si="17">SUM(D37)</f>
        <v>4200</v>
      </c>
      <c r="E36" s="47">
        <f t="shared" si="17"/>
        <v>5500</v>
      </c>
      <c r="F36" s="47">
        <f t="shared" si="17"/>
        <v>5500</v>
      </c>
      <c r="G36" s="47">
        <f t="shared" si="17"/>
        <v>5500</v>
      </c>
      <c r="H36" s="47">
        <f t="shared" si="17"/>
        <v>5500</v>
      </c>
      <c r="I36" s="47">
        <f t="shared" si="17"/>
        <v>0</v>
      </c>
      <c r="J36" s="47">
        <f t="shared" si="17"/>
        <v>0</v>
      </c>
      <c r="K36" s="47">
        <f t="shared" si="17"/>
        <v>5500</v>
      </c>
    </row>
    <row r="37" spans="1:14" s="51" customFormat="1" x14ac:dyDescent="0.25">
      <c r="A37" s="49" t="s">
        <v>43</v>
      </c>
      <c r="B37" s="1090" t="s">
        <v>17</v>
      </c>
      <c r="C37" s="1090"/>
      <c r="D37" s="50">
        <f>D151</f>
        <v>4200</v>
      </c>
      <c r="E37" s="50">
        <f>E151</f>
        <v>5500</v>
      </c>
      <c r="F37" s="50">
        <f t="shared" ref="F37:K37" si="18">F151</f>
        <v>5500</v>
      </c>
      <c r="G37" s="50">
        <f t="shared" si="18"/>
        <v>5500</v>
      </c>
      <c r="H37" s="50">
        <f t="shared" si="18"/>
        <v>5500</v>
      </c>
      <c r="I37" s="50">
        <f t="shared" si="18"/>
        <v>0</v>
      </c>
      <c r="J37" s="50">
        <f t="shared" si="18"/>
        <v>0</v>
      </c>
      <c r="K37" s="50">
        <f t="shared" si="18"/>
        <v>5500</v>
      </c>
    </row>
    <row r="38" spans="1:14" s="48" customFormat="1" ht="30" x14ac:dyDescent="0.25">
      <c r="A38" s="45" t="s">
        <v>44</v>
      </c>
      <c r="B38" s="57" t="s">
        <v>45</v>
      </c>
      <c r="C38" s="58"/>
      <c r="D38" s="47">
        <f>SUM(D39:D40)</f>
        <v>7907</v>
      </c>
      <c r="E38" s="47">
        <f>SUM(E39:E40)</f>
        <v>8000</v>
      </c>
      <c r="F38" s="47">
        <f t="shared" ref="F38:K38" si="19">SUM(F39:F40)</f>
        <v>18500</v>
      </c>
      <c r="G38" s="47">
        <f t="shared" si="19"/>
        <v>18500</v>
      </c>
      <c r="H38" s="47">
        <f t="shared" si="19"/>
        <v>18500</v>
      </c>
      <c r="I38" s="47">
        <f t="shared" si="19"/>
        <v>0</v>
      </c>
      <c r="J38" s="47">
        <f t="shared" si="19"/>
        <v>0</v>
      </c>
      <c r="K38" s="47">
        <f t="shared" si="19"/>
        <v>8000</v>
      </c>
    </row>
    <row r="39" spans="1:14" s="51" customFormat="1" x14ac:dyDescent="0.25">
      <c r="A39" s="49" t="s">
        <v>46</v>
      </c>
      <c r="B39" s="1090" t="s">
        <v>17</v>
      </c>
      <c r="C39" s="1090"/>
      <c r="D39" s="50">
        <f>D152</f>
        <v>6041</v>
      </c>
      <c r="E39" s="50">
        <f>E152</f>
        <v>5500</v>
      </c>
      <c r="F39" s="50">
        <f t="shared" ref="F39:K39" si="20">F152</f>
        <v>13000</v>
      </c>
      <c r="G39" s="50">
        <f t="shared" si="20"/>
        <v>13000</v>
      </c>
      <c r="H39" s="50">
        <f t="shared" si="20"/>
        <v>13000</v>
      </c>
      <c r="I39" s="50">
        <f t="shared" si="20"/>
        <v>0</v>
      </c>
      <c r="J39" s="50">
        <f t="shared" si="20"/>
        <v>0</v>
      </c>
      <c r="K39" s="50">
        <f t="shared" si="20"/>
        <v>5500</v>
      </c>
    </row>
    <row r="40" spans="1:14" s="51" customFormat="1" x14ac:dyDescent="0.25">
      <c r="A40" s="49" t="s">
        <v>47</v>
      </c>
      <c r="B40" s="1090" t="s">
        <v>18</v>
      </c>
      <c r="C40" s="1090"/>
      <c r="D40" s="50">
        <f>D267</f>
        <v>1866</v>
      </c>
      <c r="E40" s="50">
        <f>E267</f>
        <v>2500</v>
      </c>
      <c r="F40" s="50">
        <f t="shared" ref="F40:K40" si="21">F267</f>
        <v>5500</v>
      </c>
      <c r="G40" s="50">
        <f t="shared" si="21"/>
        <v>5500</v>
      </c>
      <c r="H40" s="50">
        <f t="shared" si="21"/>
        <v>5500</v>
      </c>
      <c r="I40" s="50">
        <f t="shared" si="21"/>
        <v>0</v>
      </c>
      <c r="J40" s="50">
        <f t="shared" si="21"/>
        <v>0</v>
      </c>
      <c r="K40" s="50">
        <f t="shared" si="21"/>
        <v>2500</v>
      </c>
    </row>
    <row r="41" spans="1:14" s="48" customFormat="1" x14ac:dyDescent="0.25">
      <c r="A41" s="45" t="s">
        <v>48</v>
      </c>
      <c r="B41" s="1089" t="s">
        <v>49</v>
      </c>
      <c r="C41" s="1089"/>
      <c r="D41" s="47">
        <f>SUM(D145)</f>
        <v>74676</v>
      </c>
      <c r="E41" s="47">
        <f>SUM(E145)</f>
        <v>84294</v>
      </c>
      <c r="F41" s="47">
        <f t="shared" ref="F41:K41" si="22">SUM(F145)</f>
        <v>89318</v>
      </c>
      <c r="G41" s="47">
        <f t="shared" si="22"/>
        <v>94656</v>
      </c>
      <c r="H41" s="47">
        <f t="shared" si="22"/>
        <v>100331</v>
      </c>
      <c r="I41" s="47">
        <f t="shared" si="22"/>
        <v>0</v>
      </c>
      <c r="J41" s="47">
        <f t="shared" si="22"/>
        <v>0</v>
      </c>
      <c r="K41" s="47">
        <f t="shared" si="22"/>
        <v>84294</v>
      </c>
    </row>
    <row r="42" spans="1:14" s="48" customFormat="1" x14ac:dyDescent="0.25">
      <c r="A42" s="45" t="s">
        <v>50</v>
      </c>
      <c r="B42" s="46" t="s">
        <v>51</v>
      </c>
      <c r="C42" s="46"/>
      <c r="D42" s="47">
        <f>SUM(D43:D44)</f>
        <v>141100</v>
      </c>
      <c r="E42" s="47">
        <f>SUM(E43:E44)</f>
        <v>194316</v>
      </c>
      <c r="F42" s="47">
        <f t="shared" ref="F42:K42" si="23">SUM(F43:F44)</f>
        <v>162000</v>
      </c>
      <c r="G42" s="47">
        <f t="shared" si="23"/>
        <v>162000</v>
      </c>
      <c r="H42" s="47">
        <f t="shared" si="23"/>
        <v>162000</v>
      </c>
      <c r="I42" s="47">
        <f t="shared" si="23"/>
        <v>0</v>
      </c>
      <c r="J42" s="47">
        <f t="shared" si="23"/>
        <v>0</v>
      </c>
      <c r="K42" s="47">
        <f t="shared" si="23"/>
        <v>194316</v>
      </c>
    </row>
    <row r="43" spans="1:14" s="51" customFormat="1" x14ac:dyDescent="0.25">
      <c r="A43" s="49" t="s">
        <v>52</v>
      </c>
      <c r="B43" s="1090" t="s">
        <v>17</v>
      </c>
      <c r="C43" s="1090"/>
      <c r="D43" s="50">
        <f>SUM(D120+D156)</f>
        <v>140200</v>
      </c>
      <c r="E43" s="50">
        <f>SUM(E120+E156)</f>
        <v>191616</v>
      </c>
      <c r="F43" s="50">
        <f t="shared" ref="F43:K43" si="24">SUM(F120+F156)</f>
        <v>160300</v>
      </c>
      <c r="G43" s="50">
        <f t="shared" si="24"/>
        <v>160300</v>
      </c>
      <c r="H43" s="50">
        <f t="shared" si="24"/>
        <v>160300</v>
      </c>
      <c r="I43" s="50">
        <f t="shared" si="24"/>
        <v>0</v>
      </c>
      <c r="J43" s="50">
        <f t="shared" si="24"/>
        <v>0</v>
      </c>
      <c r="K43" s="50">
        <f t="shared" si="24"/>
        <v>191616</v>
      </c>
    </row>
    <row r="44" spans="1:14" s="51" customFormat="1" x14ac:dyDescent="0.25">
      <c r="A44" s="49" t="s">
        <v>53</v>
      </c>
      <c r="B44" s="1090" t="s">
        <v>18</v>
      </c>
      <c r="C44" s="1090"/>
      <c r="D44" s="50">
        <f>SUM(D268+D249)</f>
        <v>900</v>
      </c>
      <c r="E44" s="50">
        <f>SUM(E268+E249)</f>
        <v>2700</v>
      </c>
      <c r="F44" s="50">
        <f t="shared" ref="F44:K44" si="25">SUM(F268+F249)</f>
        <v>1700</v>
      </c>
      <c r="G44" s="50">
        <f t="shared" si="25"/>
        <v>1700</v>
      </c>
      <c r="H44" s="50">
        <f t="shared" si="25"/>
        <v>1700</v>
      </c>
      <c r="I44" s="50">
        <f t="shared" si="25"/>
        <v>0</v>
      </c>
      <c r="J44" s="50">
        <f t="shared" si="25"/>
        <v>0</v>
      </c>
      <c r="K44" s="50">
        <f t="shared" si="25"/>
        <v>2700</v>
      </c>
    </row>
    <row r="45" spans="1:14" s="48" customFormat="1" x14ac:dyDescent="0.25">
      <c r="A45" s="45" t="s">
        <v>54</v>
      </c>
      <c r="B45" s="1089" t="s">
        <v>55</v>
      </c>
      <c r="C45" s="1089"/>
      <c r="D45" s="47">
        <f>D281</f>
        <v>787474</v>
      </c>
      <c r="E45" s="47">
        <f>E281</f>
        <v>880400</v>
      </c>
      <c r="F45" s="47">
        <f t="shared" ref="F45:K45" si="26">F281</f>
        <v>1020400</v>
      </c>
      <c r="G45" s="47">
        <f t="shared" si="26"/>
        <v>1100400</v>
      </c>
      <c r="H45" s="47">
        <f t="shared" si="26"/>
        <v>1200400</v>
      </c>
      <c r="I45" s="47">
        <f t="shared" si="26"/>
        <v>0</v>
      </c>
      <c r="J45" s="47">
        <f t="shared" si="26"/>
        <v>0</v>
      </c>
      <c r="K45" s="47">
        <f t="shared" si="26"/>
        <v>880400</v>
      </c>
    </row>
    <row r="46" spans="1:14" s="48" customFormat="1" x14ac:dyDescent="0.25">
      <c r="A46" s="45" t="s">
        <v>56</v>
      </c>
      <c r="B46" s="1089" t="s">
        <v>57</v>
      </c>
      <c r="C46" s="1089"/>
      <c r="D46" s="47" t="e">
        <f>SUM(D47:D51,D54)</f>
        <v>#REF!</v>
      </c>
      <c r="E46" s="47">
        <f>SUM(E47:E51,E54)</f>
        <v>316989</v>
      </c>
      <c r="F46" s="47">
        <f t="shared" ref="F46:K46" si="27">SUM(F47:F51,F54)</f>
        <v>296018</v>
      </c>
      <c r="G46" s="47">
        <f t="shared" si="27"/>
        <v>287720</v>
      </c>
      <c r="H46" s="47">
        <f t="shared" si="27"/>
        <v>288765</v>
      </c>
      <c r="I46" s="47" t="e">
        <f t="shared" si="27"/>
        <v>#VALUE!</v>
      </c>
      <c r="J46" s="47">
        <f t="shared" si="27"/>
        <v>0</v>
      </c>
      <c r="K46" s="47">
        <f t="shared" si="27"/>
        <v>316989</v>
      </c>
      <c r="L46" s="59">
        <f>F46-F53-F54</f>
        <v>121018</v>
      </c>
      <c r="M46" s="59">
        <f>G46-G53-G54</f>
        <v>122720</v>
      </c>
      <c r="N46" s="59">
        <f>H46-H53-H54</f>
        <v>123765</v>
      </c>
    </row>
    <row r="47" spans="1:14" s="51" customFormat="1" x14ac:dyDescent="0.25">
      <c r="A47" s="49" t="s">
        <v>58</v>
      </c>
      <c r="B47" s="1090" t="s">
        <v>59</v>
      </c>
      <c r="C47" s="1090"/>
      <c r="D47" s="50">
        <f>SUM(D198)</f>
        <v>52282</v>
      </c>
      <c r="E47" s="50">
        <f>SUM(E198)</f>
        <v>52282</v>
      </c>
      <c r="F47" s="50">
        <f t="shared" ref="F47:K47" si="28">SUM(F198)</f>
        <v>52283</v>
      </c>
      <c r="G47" s="50">
        <f t="shared" si="28"/>
        <v>52284</v>
      </c>
      <c r="H47" s="50">
        <f t="shared" si="28"/>
        <v>52285</v>
      </c>
      <c r="I47" s="50">
        <f t="shared" si="28"/>
        <v>52286</v>
      </c>
      <c r="J47" s="50">
        <f t="shared" si="28"/>
        <v>0</v>
      </c>
      <c r="K47" s="50">
        <f t="shared" si="28"/>
        <v>52282</v>
      </c>
      <c r="L47" s="51">
        <f>L46*1.035</f>
        <v>125253.62999999999</v>
      </c>
      <c r="M47" s="51">
        <f>M46*1.035</f>
        <v>127015.2</v>
      </c>
      <c r="N47" s="51">
        <f>N46*1.035</f>
        <v>128096.77499999999</v>
      </c>
    </row>
    <row r="48" spans="1:14" s="51" customFormat="1" x14ac:dyDescent="0.25">
      <c r="A48" s="49" t="s">
        <v>60</v>
      </c>
      <c r="B48" s="1090" t="s">
        <v>61</v>
      </c>
      <c r="C48" s="1090"/>
      <c r="D48" s="50">
        <f>SUM(D202)</f>
        <v>9444</v>
      </c>
      <c r="E48" s="50">
        <f>SUM(E202)</f>
        <v>9392</v>
      </c>
      <c r="F48" s="50">
        <f t="shared" ref="F48:K48" si="29">SUM(F202)</f>
        <v>9393</v>
      </c>
      <c r="G48" s="50">
        <f t="shared" si="29"/>
        <v>9394</v>
      </c>
      <c r="H48" s="50">
        <f t="shared" si="29"/>
        <v>9395</v>
      </c>
      <c r="I48" s="50">
        <f t="shared" si="29"/>
        <v>9396</v>
      </c>
      <c r="J48" s="50">
        <f t="shared" si="29"/>
        <v>0</v>
      </c>
      <c r="K48" s="50">
        <f t="shared" si="29"/>
        <v>9392</v>
      </c>
    </row>
    <row r="49" spans="1:15" s="51" customFormat="1" x14ac:dyDescent="0.25">
      <c r="A49" s="49" t="s">
        <v>62</v>
      </c>
      <c r="B49" s="1090" t="s">
        <v>63</v>
      </c>
      <c r="C49" s="1090"/>
      <c r="D49" s="50">
        <f>SUM(D204)</f>
        <v>1327</v>
      </c>
      <c r="E49" s="50">
        <f>SUM(E204)</f>
        <v>1311</v>
      </c>
      <c r="F49" s="50">
        <f t="shared" ref="F49:K49" si="30">SUM(F204)</f>
        <v>1312</v>
      </c>
      <c r="G49" s="50">
        <f t="shared" si="30"/>
        <v>1313</v>
      </c>
      <c r="H49" s="50">
        <f t="shared" si="30"/>
        <v>1314</v>
      </c>
      <c r="I49" s="50">
        <f t="shared" si="30"/>
        <v>1315</v>
      </c>
      <c r="J49" s="50">
        <f t="shared" si="30"/>
        <v>0</v>
      </c>
      <c r="K49" s="50">
        <f t="shared" si="30"/>
        <v>1311</v>
      </c>
    </row>
    <row r="50" spans="1:15" s="51" customFormat="1" x14ac:dyDescent="0.25">
      <c r="A50" s="49" t="s">
        <v>64</v>
      </c>
      <c r="B50" s="1090" t="s">
        <v>65</v>
      </c>
      <c r="C50" s="1090"/>
      <c r="D50" s="50">
        <f>SUM(D200)</f>
        <v>1200</v>
      </c>
      <c r="E50" s="50">
        <f>SUM(E200)</f>
        <v>1200</v>
      </c>
      <c r="F50" s="50">
        <f t="shared" ref="F50:K50" si="31">SUM(F200)</f>
        <v>1201</v>
      </c>
      <c r="G50" s="50">
        <f t="shared" si="31"/>
        <v>1202</v>
      </c>
      <c r="H50" s="50">
        <f t="shared" si="31"/>
        <v>1203</v>
      </c>
      <c r="I50" s="50">
        <f t="shared" si="31"/>
        <v>1204</v>
      </c>
      <c r="J50" s="50">
        <f t="shared" si="31"/>
        <v>0</v>
      </c>
      <c r="K50" s="50">
        <f t="shared" si="31"/>
        <v>1200</v>
      </c>
    </row>
    <row r="51" spans="1:15" s="51" customFormat="1" x14ac:dyDescent="0.25">
      <c r="A51" s="49" t="s">
        <v>66</v>
      </c>
      <c r="B51" s="1090" t="s">
        <v>67</v>
      </c>
      <c r="C51" s="1090"/>
      <c r="D51" s="50" t="e">
        <f>SUM(D206)</f>
        <v>#REF!</v>
      </c>
      <c r="E51" s="50">
        <f>SUM(E206)</f>
        <v>77804</v>
      </c>
      <c r="F51" s="50">
        <f t="shared" ref="F51:K51" si="32">SUM(F206)</f>
        <v>56829</v>
      </c>
      <c r="G51" s="50">
        <f t="shared" si="32"/>
        <v>58527</v>
      </c>
      <c r="H51" s="50">
        <f t="shared" si="32"/>
        <v>59568</v>
      </c>
      <c r="I51" s="50" t="e">
        <f t="shared" si="32"/>
        <v>#VALUE!</v>
      </c>
      <c r="J51" s="50">
        <f t="shared" si="32"/>
        <v>0</v>
      </c>
      <c r="K51" s="50">
        <f t="shared" si="32"/>
        <v>77804</v>
      </c>
      <c r="L51" s="60"/>
      <c r="M51" s="60"/>
      <c r="N51" s="60"/>
      <c r="O51" s="60"/>
    </row>
    <row r="52" spans="1:15" s="51" customFormat="1" ht="18.75" x14ac:dyDescent="0.3">
      <c r="A52" s="49" t="s">
        <v>68</v>
      </c>
      <c r="B52" s="1091" t="s">
        <v>69</v>
      </c>
      <c r="C52" s="1091"/>
      <c r="D52" s="50">
        <f>D212</f>
        <v>1902</v>
      </c>
      <c r="E52" s="50">
        <f>E212</f>
        <v>1947</v>
      </c>
      <c r="F52" s="50">
        <f t="shared" ref="F52:K52" si="33">F212</f>
        <v>1995</v>
      </c>
      <c r="G52" s="50">
        <f t="shared" si="33"/>
        <v>2040</v>
      </c>
      <c r="H52" s="50">
        <f t="shared" si="33"/>
        <v>2090</v>
      </c>
      <c r="I52" s="50">
        <f t="shared" si="33"/>
        <v>0</v>
      </c>
      <c r="J52" s="50">
        <f t="shared" si="33"/>
        <v>0</v>
      </c>
      <c r="K52" s="50">
        <f t="shared" si="33"/>
        <v>1947</v>
      </c>
      <c r="L52" s="8"/>
      <c r="M52" s="8"/>
      <c r="N52" s="8"/>
      <c r="O52" s="8"/>
    </row>
    <row r="53" spans="1:15" s="51" customFormat="1" x14ac:dyDescent="0.25">
      <c r="A53" s="49" t="s">
        <v>70</v>
      </c>
      <c r="B53" s="1091" t="s">
        <v>71</v>
      </c>
      <c r="C53" s="1091"/>
      <c r="D53" s="50" t="e">
        <f>SUM(#REF!)</f>
        <v>#REF!</v>
      </c>
      <c r="E53" s="50">
        <f>SUM(E221)</f>
        <v>21088</v>
      </c>
      <c r="F53" s="50">
        <f t="shared" ref="F53:K53" si="34">SUM(F221)</f>
        <v>0</v>
      </c>
      <c r="G53" s="50">
        <f t="shared" si="34"/>
        <v>0</v>
      </c>
      <c r="H53" s="50">
        <f t="shared" si="34"/>
        <v>0</v>
      </c>
      <c r="I53" s="50">
        <f t="shared" si="34"/>
        <v>0</v>
      </c>
      <c r="J53" s="50">
        <f t="shared" si="34"/>
        <v>0</v>
      </c>
      <c r="K53" s="50">
        <f t="shared" si="34"/>
        <v>21088</v>
      </c>
      <c r="L53" s="5"/>
      <c r="M53" s="5"/>
      <c r="N53" s="5"/>
      <c r="O53" s="5"/>
    </row>
    <row r="54" spans="1:15" s="51" customFormat="1" ht="15.75" customHeight="1" x14ac:dyDescent="0.25">
      <c r="A54" s="49" t="s">
        <v>72</v>
      </c>
      <c r="B54" s="1092" t="s">
        <v>73</v>
      </c>
      <c r="C54" s="1092"/>
      <c r="D54" s="50">
        <f>SUM(D237)</f>
        <v>195133</v>
      </c>
      <c r="E54" s="50">
        <f>SUM(E237)</f>
        <v>175000</v>
      </c>
      <c r="F54" s="50">
        <f t="shared" ref="F54:K54" si="35">SUM(F237)</f>
        <v>175000</v>
      </c>
      <c r="G54" s="50">
        <f t="shared" si="35"/>
        <v>165000</v>
      </c>
      <c r="H54" s="50">
        <f t="shared" si="35"/>
        <v>165000</v>
      </c>
      <c r="I54" s="50">
        <f t="shared" si="35"/>
        <v>0</v>
      </c>
      <c r="J54" s="50">
        <f t="shared" si="35"/>
        <v>0</v>
      </c>
      <c r="K54" s="50">
        <f t="shared" si="35"/>
        <v>175000</v>
      </c>
      <c r="L54" s="61"/>
      <c r="M54" s="61"/>
      <c r="N54" s="61"/>
      <c r="O54" s="61"/>
    </row>
    <row r="55" spans="1:15" s="48" customFormat="1" x14ac:dyDescent="0.25">
      <c r="A55" s="45" t="s">
        <v>74</v>
      </c>
      <c r="B55" s="1089" t="s">
        <v>75</v>
      </c>
      <c r="C55" s="1089"/>
      <c r="D55" s="47">
        <f>SUM(D188)</f>
        <v>3576</v>
      </c>
      <c r="E55" s="47">
        <f>SUM(E188)</f>
        <v>3661</v>
      </c>
      <c r="F55" s="47">
        <f t="shared" ref="F55:K55" si="36">SUM(F188)</f>
        <v>3752</v>
      </c>
      <c r="G55" s="47">
        <f t="shared" si="36"/>
        <v>3845</v>
      </c>
      <c r="H55" s="47">
        <f t="shared" si="36"/>
        <v>3941</v>
      </c>
      <c r="I55" s="47">
        <f t="shared" si="36"/>
        <v>0</v>
      </c>
      <c r="J55" s="47">
        <f t="shared" si="36"/>
        <v>0</v>
      </c>
      <c r="K55" s="47">
        <f t="shared" si="36"/>
        <v>3661</v>
      </c>
      <c r="L55" s="62"/>
      <c r="M55" s="62"/>
      <c r="N55" s="62"/>
      <c r="O55" s="62"/>
    </row>
    <row r="56" spans="1:15" s="48" customFormat="1" x14ac:dyDescent="0.25">
      <c r="A56" s="45" t="s">
        <v>76</v>
      </c>
      <c r="B56" s="1089" t="s">
        <v>77</v>
      </c>
      <c r="C56" s="1089"/>
      <c r="D56" s="47">
        <f>SUM(D242:D243)</f>
        <v>41131</v>
      </c>
      <c r="E56" s="47">
        <f>SUM(E242:E243)</f>
        <v>45573</v>
      </c>
      <c r="F56" s="47">
        <f t="shared" ref="F56:K56" si="37">SUM(F242:F243)</f>
        <v>45483</v>
      </c>
      <c r="G56" s="47">
        <f t="shared" si="37"/>
        <v>34077</v>
      </c>
      <c r="H56" s="47">
        <f t="shared" si="37"/>
        <v>32120</v>
      </c>
      <c r="I56" s="47">
        <f t="shared" si="37"/>
        <v>0</v>
      </c>
      <c r="J56" s="47">
        <f t="shared" si="37"/>
        <v>0</v>
      </c>
      <c r="K56" s="47">
        <f t="shared" si="37"/>
        <v>45573</v>
      </c>
      <c r="L56" s="63">
        <f>F56*1.035</f>
        <v>47074.904999999999</v>
      </c>
      <c r="M56" s="63">
        <f>G56*1.035</f>
        <v>35269.695</v>
      </c>
      <c r="N56" s="63"/>
      <c r="O56" s="63"/>
    </row>
    <row r="57" spans="1:15" s="48" customFormat="1" x14ac:dyDescent="0.25">
      <c r="A57" s="45" t="s">
        <v>78</v>
      </c>
      <c r="B57" s="1089" t="s">
        <v>79</v>
      </c>
      <c r="C57" s="1089"/>
      <c r="D57" s="64">
        <f>SUM(D291)</f>
        <v>1964</v>
      </c>
      <c r="E57" s="64">
        <f>SUM(E291)</f>
        <v>3283</v>
      </c>
      <c r="F57" s="64">
        <f t="shared" ref="F57:K57" si="38">SUM(F291)</f>
        <v>1869</v>
      </c>
      <c r="G57" s="64">
        <f t="shared" si="38"/>
        <v>350</v>
      </c>
      <c r="H57" s="64">
        <f t="shared" si="38"/>
        <v>350</v>
      </c>
      <c r="I57" s="64">
        <f t="shared" si="38"/>
        <v>0</v>
      </c>
      <c r="J57" s="64">
        <f t="shared" si="38"/>
        <v>0</v>
      </c>
      <c r="K57" s="64">
        <f t="shared" si="38"/>
        <v>3283</v>
      </c>
      <c r="L57" s="63"/>
      <c r="M57" s="63"/>
      <c r="N57" s="63"/>
      <c r="O57" s="63"/>
    </row>
    <row r="58" spans="1:15" s="70" customFormat="1" ht="45" x14ac:dyDescent="0.25">
      <c r="A58" s="66" t="s">
        <v>80</v>
      </c>
      <c r="B58" s="67" t="s">
        <v>81</v>
      </c>
      <c r="C58" s="68"/>
      <c r="D58" s="64">
        <f>SUM(D59)</f>
        <v>950</v>
      </c>
      <c r="E58" s="64">
        <f>SUM(E59)</f>
        <v>1500</v>
      </c>
      <c r="F58" s="64">
        <f t="shared" ref="F58:K58" si="39">SUM(F59)</f>
        <v>1500</v>
      </c>
      <c r="G58" s="64">
        <f t="shared" si="39"/>
        <v>1500</v>
      </c>
      <c r="H58" s="64">
        <f t="shared" si="39"/>
        <v>1500</v>
      </c>
      <c r="I58" s="64">
        <f t="shared" si="39"/>
        <v>0</v>
      </c>
      <c r="J58" s="64">
        <f t="shared" si="39"/>
        <v>0</v>
      </c>
      <c r="K58" s="64">
        <f t="shared" si="39"/>
        <v>1500</v>
      </c>
      <c r="L58" s="69"/>
      <c r="M58" s="65"/>
    </row>
    <row r="59" spans="1:15" s="75" customFormat="1" x14ac:dyDescent="0.25">
      <c r="A59" s="71" t="s">
        <v>82</v>
      </c>
      <c r="B59" s="1090" t="s">
        <v>17</v>
      </c>
      <c r="C59" s="1090"/>
      <c r="D59" s="72">
        <f>SUM(D174)</f>
        <v>950</v>
      </c>
      <c r="E59" s="72">
        <f>SUM(E174)</f>
        <v>1500</v>
      </c>
      <c r="F59" s="72">
        <f t="shared" ref="F59:K59" si="40">SUM(F174)</f>
        <v>1500</v>
      </c>
      <c r="G59" s="72">
        <f t="shared" si="40"/>
        <v>1500</v>
      </c>
      <c r="H59" s="72">
        <f t="shared" si="40"/>
        <v>1500</v>
      </c>
      <c r="I59" s="72">
        <f t="shared" si="40"/>
        <v>0</v>
      </c>
      <c r="J59" s="72">
        <f t="shared" si="40"/>
        <v>0</v>
      </c>
      <c r="K59" s="72">
        <f t="shared" si="40"/>
        <v>1500</v>
      </c>
      <c r="L59" s="73"/>
      <c r="M59" s="74"/>
    </row>
    <row r="60" spans="1:15" s="75" customFormat="1" hidden="1" x14ac:dyDescent="0.25">
      <c r="A60" s="71" t="s">
        <v>83</v>
      </c>
      <c r="B60" s="1090" t="s">
        <v>18</v>
      </c>
      <c r="C60" s="1090"/>
      <c r="D60" s="72"/>
      <c r="E60" s="72"/>
      <c r="F60" s="72"/>
      <c r="G60" s="72"/>
      <c r="H60" s="72"/>
      <c r="I60" s="72"/>
      <c r="J60" s="72"/>
      <c r="K60" s="72"/>
      <c r="L60" s="73"/>
      <c r="M60" s="74"/>
    </row>
    <row r="61" spans="1:15" s="60" customFormat="1" ht="15.75" customHeight="1" x14ac:dyDescent="0.25">
      <c r="A61" s="76"/>
      <c r="B61" s="1093"/>
      <c r="C61" s="1093"/>
      <c r="D61" s="77"/>
      <c r="E61" s="77"/>
      <c r="F61" s="77"/>
      <c r="G61" s="77"/>
      <c r="H61" s="77"/>
      <c r="I61" s="77"/>
      <c r="J61" s="77"/>
      <c r="K61" s="77"/>
      <c r="L61" s="78"/>
      <c r="M61" s="74"/>
    </row>
    <row r="62" spans="1:15" s="8" customFormat="1" ht="18.75" x14ac:dyDescent="0.3">
      <c r="A62" s="16"/>
      <c r="B62" s="16"/>
      <c r="C62" s="16"/>
      <c r="D62" s="79"/>
      <c r="E62" s="79"/>
      <c r="F62" s="80"/>
      <c r="G62" s="80"/>
      <c r="H62" s="80"/>
      <c r="I62" s="16"/>
      <c r="J62" s="79"/>
      <c r="K62" s="79"/>
      <c r="L62" s="81"/>
      <c r="M62" s="81"/>
      <c r="N62" s="81"/>
      <c r="O62" s="81"/>
    </row>
    <row r="63" spans="1:15" ht="19.5" thickBot="1" x14ac:dyDescent="0.35">
      <c r="A63" s="15" t="s">
        <v>84</v>
      </c>
      <c r="B63" s="82"/>
      <c r="D63" s="83"/>
      <c r="E63" s="83"/>
      <c r="F63" s="83"/>
      <c r="G63" s="83"/>
      <c r="H63" s="83"/>
      <c r="I63" s="84"/>
      <c r="J63" s="83"/>
      <c r="K63" s="83"/>
      <c r="L63" s="85"/>
      <c r="M63" s="85"/>
      <c r="N63" s="85"/>
      <c r="O63" s="85"/>
    </row>
    <row r="64" spans="1:15" s="21" customFormat="1" ht="74.25" customHeight="1" thickBot="1" x14ac:dyDescent="0.3">
      <c r="A64" s="1082" t="s">
        <v>7</v>
      </c>
      <c r="B64" s="1083" t="s">
        <v>8</v>
      </c>
      <c r="C64" s="1094" t="s">
        <v>85</v>
      </c>
      <c r="D64" s="19" t="str">
        <f t="shared" ref="D64:I64" si="41">D14</f>
        <v>Przewidywane 
wykonanie 
w 2013 r.</v>
      </c>
      <c r="E64" s="19" t="str">
        <f t="shared" si="41"/>
        <v xml:space="preserve">Plan 
na 2014 r. 
</v>
      </c>
      <c r="F64" s="19" t="str">
        <f t="shared" si="41"/>
        <v>Projekt planu 
na 2015 r.</v>
      </c>
      <c r="G64" s="19" t="str">
        <f t="shared" si="41"/>
        <v>Projekt planu 
na 2016 r.</v>
      </c>
      <c r="H64" s="19" t="str">
        <f t="shared" si="41"/>
        <v>Projekt planu 
na 2017 r.</v>
      </c>
      <c r="I64" s="20" t="str">
        <f t="shared" si="41"/>
        <v>Projekt
planu KASOWO
na 2012 rok</v>
      </c>
      <c r="J64" s="19" t="str">
        <f>J14</f>
        <v>Wniosek o przeniesienie</v>
      </c>
      <c r="K64" s="19" t="str">
        <f>K14</f>
        <v>Plan po zmianach</v>
      </c>
      <c r="L64" s="86"/>
      <c r="M64" s="86"/>
      <c r="N64" s="86"/>
      <c r="O64" s="86"/>
    </row>
    <row r="65" spans="1:15" s="21" customFormat="1" ht="16.5" customHeight="1" thickBot="1" x14ac:dyDescent="0.3">
      <c r="A65" s="1082"/>
      <c r="B65" s="1083"/>
      <c r="C65" s="1094"/>
      <c r="D65" s="1078" t="str">
        <f>D15</f>
        <v>w tysiącach złotych</v>
      </c>
      <c r="E65" s="1079"/>
      <c r="F65" s="1079"/>
      <c r="G65" s="1079"/>
      <c r="H65" s="1079"/>
      <c r="I65" s="1079"/>
      <c r="J65" s="1079"/>
      <c r="K65" s="1098"/>
      <c r="L65" s="86"/>
      <c r="M65" s="86"/>
      <c r="N65" s="86"/>
      <c r="O65" s="86"/>
    </row>
    <row r="66" spans="1:15" s="29" customFormat="1" ht="12.95" customHeight="1" thickBot="1" x14ac:dyDescent="0.3">
      <c r="A66" s="24">
        <v>1</v>
      </c>
      <c r="B66" s="87">
        <v>2</v>
      </c>
      <c r="C66" s="26">
        <v>3</v>
      </c>
      <c r="D66" s="27">
        <v>4</v>
      </c>
      <c r="E66" s="27">
        <v>4</v>
      </c>
      <c r="F66" s="27">
        <v>6</v>
      </c>
      <c r="G66" s="27">
        <v>7</v>
      </c>
      <c r="H66" s="27">
        <v>8</v>
      </c>
      <c r="I66" s="28">
        <v>5</v>
      </c>
      <c r="J66" s="27">
        <v>5</v>
      </c>
      <c r="K66" s="27">
        <v>6</v>
      </c>
      <c r="L66" s="85"/>
      <c r="M66" s="85"/>
      <c r="N66" s="85"/>
      <c r="O66" s="85"/>
    </row>
    <row r="67" spans="1:15" s="29" customFormat="1" ht="9.9499999999999993" customHeight="1" x14ac:dyDescent="0.25">
      <c r="A67" s="30"/>
      <c r="B67" s="88"/>
      <c r="C67" s="32"/>
      <c r="D67" s="33"/>
      <c r="E67" s="33"/>
      <c r="F67" s="33"/>
      <c r="G67" s="33"/>
      <c r="H67" s="33"/>
      <c r="I67" s="34"/>
      <c r="J67" s="33"/>
      <c r="K67" s="33"/>
      <c r="L67" s="85"/>
      <c r="M67" s="85"/>
      <c r="N67" s="85"/>
      <c r="O67" s="85"/>
    </row>
    <row r="68" spans="1:15" s="95" customFormat="1" x14ac:dyDescent="0.25">
      <c r="A68" s="89" t="s">
        <v>15</v>
      </c>
      <c r="B68" s="90" t="s">
        <v>86</v>
      </c>
      <c r="C68" s="91" t="s">
        <v>87</v>
      </c>
      <c r="D68" s="92">
        <f t="shared" ref="D68:K68" si="42">SUM(D70:D73,D76)+SUM(D80:D85)</f>
        <v>699857</v>
      </c>
      <c r="E68" s="92">
        <f t="shared" si="42"/>
        <v>560105</v>
      </c>
      <c r="F68" s="92">
        <f t="shared" si="42"/>
        <v>304373</v>
      </c>
      <c r="G68" s="92">
        <f t="shared" si="42"/>
        <v>285810</v>
      </c>
      <c r="H68" s="92">
        <f t="shared" si="42"/>
        <v>337738</v>
      </c>
      <c r="I68" s="92">
        <f t="shared" si="42"/>
        <v>0</v>
      </c>
      <c r="J68" s="92">
        <f t="shared" si="42"/>
        <v>0</v>
      </c>
      <c r="K68" s="92">
        <f t="shared" si="42"/>
        <v>560105</v>
      </c>
      <c r="L68" s="86"/>
      <c r="M68" s="86"/>
      <c r="N68" s="86"/>
      <c r="O68" s="86"/>
    </row>
    <row r="69" spans="1:15" s="81" customFormat="1" ht="15.75" customHeight="1" x14ac:dyDescent="0.25">
      <c r="A69" s="96"/>
      <c r="B69" s="97" t="s">
        <v>88</v>
      </c>
      <c r="C69" s="98"/>
      <c r="D69" s="99"/>
      <c r="E69" s="99"/>
      <c r="F69" s="99"/>
      <c r="G69" s="99"/>
      <c r="H69" s="99"/>
      <c r="I69" s="100"/>
      <c r="J69" s="99"/>
      <c r="K69" s="99"/>
      <c r="L69" s="85"/>
      <c r="M69" s="85"/>
      <c r="N69" s="85"/>
      <c r="O69" s="85"/>
    </row>
    <row r="70" spans="1:15" s="85" customFormat="1" ht="15.75" customHeight="1" x14ac:dyDescent="0.25">
      <c r="A70" s="102" t="s">
        <v>19</v>
      </c>
      <c r="B70" s="103" t="s">
        <v>89</v>
      </c>
      <c r="C70" s="98" t="s">
        <v>87</v>
      </c>
      <c r="D70" s="104">
        <v>597769</v>
      </c>
      <c r="E70" s="104">
        <f t="shared" ref="E70:H85" si="43">D298</f>
        <v>551963</v>
      </c>
      <c r="F70" s="104">
        <f t="shared" si="43"/>
        <v>311740</v>
      </c>
      <c r="G70" s="104">
        <f t="shared" si="43"/>
        <v>311134</v>
      </c>
      <c r="H70" s="104">
        <f t="shared" si="43"/>
        <v>378419</v>
      </c>
      <c r="I70" s="105" t="str">
        <f t="shared" ref="I70:I85" si="44">"$#ODWOŁANIE$#ODWOŁANIE"</f>
        <v>$#ODWOŁANIE$#ODWOŁANIE</v>
      </c>
      <c r="J70" s="104"/>
      <c r="K70" s="104">
        <f t="shared" ref="K70:K85" si="45">E70+J70</f>
        <v>551963</v>
      </c>
      <c r="L70" s="81"/>
    </row>
    <row r="71" spans="1:15" s="85" customFormat="1" ht="15.75" customHeight="1" x14ac:dyDescent="0.25">
      <c r="A71" s="102" t="s">
        <v>23</v>
      </c>
      <c r="B71" s="103" t="s">
        <v>90</v>
      </c>
      <c r="C71" s="98" t="s">
        <v>87</v>
      </c>
      <c r="D71" s="104">
        <v>0</v>
      </c>
      <c r="E71" s="104">
        <f t="shared" si="43"/>
        <v>0</v>
      </c>
      <c r="F71" s="104">
        <f t="shared" si="43"/>
        <v>0</v>
      </c>
      <c r="G71" s="104">
        <f t="shared" si="43"/>
        <v>0</v>
      </c>
      <c r="H71" s="104">
        <f t="shared" si="43"/>
        <v>0</v>
      </c>
      <c r="I71" s="105" t="str">
        <f t="shared" si="44"/>
        <v>$#ODWOŁANIE$#ODWOŁANIE</v>
      </c>
      <c r="J71" s="104"/>
      <c r="K71" s="104">
        <f t="shared" si="45"/>
        <v>0</v>
      </c>
    </row>
    <row r="72" spans="1:15" s="85" customFormat="1" ht="15.75" customHeight="1" x14ac:dyDescent="0.25">
      <c r="A72" s="102" t="s">
        <v>27</v>
      </c>
      <c r="B72" s="103" t="s">
        <v>91</v>
      </c>
      <c r="C72" s="98" t="s">
        <v>87</v>
      </c>
      <c r="D72" s="104">
        <v>0</v>
      </c>
      <c r="E72" s="104">
        <f t="shared" si="43"/>
        <v>0</v>
      </c>
      <c r="F72" s="104">
        <f t="shared" si="43"/>
        <v>0</v>
      </c>
      <c r="G72" s="104">
        <f t="shared" si="43"/>
        <v>0</v>
      </c>
      <c r="H72" s="104">
        <f t="shared" si="43"/>
        <v>0</v>
      </c>
      <c r="I72" s="105" t="str">
        <f t="shared" si="44"/>
        <v>$#ODWOŁANIE$#ODWOŁANIE</v>
      </c>
      <c r="J72" s="104"/>
      <c r="K72" s="104">
        <f t="shared" si="45"/>
        <v>0</v>
      </c>
      <c r="L72" s="106" t="e">
        <f>D68+D87-D110+D56</f>
        <v>#REF!</v>
      </c>
    </row>
    <row r="73" spans="1:15" s="85" customFormat="1" ht="15.75" customHeight="1" x14ac:dyDescent="0.25">
      <c r="A73" s="102" t="s">
        <v>29</v>
      </c>
      <c r="B73" s="107" t="s">
        <v>92</v>
      </c>
      <c r="C73" s="98" t="s">
        <v>87</v>
      </c>
      <c r="D73" s="104">
        <v>739969</v>
      </c>
      <c r="E73" s="104">
        <f t="shared" si="43"/>
        <v>801518</v>
      </c>
      <c r="F73" s="104">
        <f t="shared" si="43"/>
        <v>770240</v>
      </c>
      <c r="G73" s="104">
        <f t="shared" si="43"/>
        <v>769173</v>
      </c>
      <c r="H73" s="104">
        <f t="shared" si="43"/>
        <v>777744</v>
      </c>
      <c r="I73" s="105" t="str">
        <f t="shared" si="44"/>
        <v>$#ODWOŁANIE$#ODWOŁANIE</v>
      </c>
      <c r="J73" s="104"/>
      <c r="K73" s="104">
        <f t="shared" si="45"/>
        <v>801518</v>
      </c>
    </row>
    <row r="74" spans="1:15" s="85" customFormat="1" ht="15.75" customHeight="1" x14ac:dyDescent="0.25">
      <c r="A74" s="102" t="s">
        <v>93</v>
      </c>
      <c r="B74" s="108" t="s">
        <v>94</v>
      </c>
      <c r="C74" s="98" t="s">
        <v>87</v>
      </c>
      <c r="D74" s="104">
        <v>582217</v>
      </c>
      <c r="E74" s="104">
        <f t="shared" si="43"/>
        <v>640000</v>
      </c>
      <c r="F74" s="104">
        <f t="shared" si="43"/>
        <v>610000</v>
      </c>
      <c r="G74" s="104">
        <f t="shared" si="43"/>
        <v>610000</v>
      </c>
      <c r="H74" s="104">
        <f t="shared" si="43"/>
        <v>620000</v>
      </c>
      <c r="I74" s="105" t="str">
        <f t="shared" si="44"/>
        <v>$#ODWOŁANIE$#ODWOŁANIE</v>
      </c>
      <c r="J74" s="104"/>
      <c r="K74" s="104">
        <f t="shared" si="45"/>
        <v>640000</v>
      </c>
    </row>
    <row r="75" spans="1:15" s="85" customFormat="1" ht="15.75" customHeight="1" x14ac:dyDescent="0.25">
      <c r="A75" s="102" t="s">
        <v>95</v>
      </c>
      <c r="B75" s="108" t="s">
        <v>96</v>
      </c>
      <c r="C75" s="98" t="s">
        <v>87</v>
      </c>
      <c r="D75" s="104">
        <v>2086</v>
      </c>
      <c r="E75" s="104">
        <f t="shared" si="43"/>
        <v>4696</v>
      </c>
      <c r="F75" s="104">
        <f t="shared" si="43"/>
        <v>4644</v>
      </c>
      <c r="G75" s="104">
        <f t="shared" si="43"/>
        <v>4666</v>
      </c>
      <c r="H75" s="104">
        <f t="shared" si="43"/>
        <v>4527</v>
      </c>
      <c r="I75" s="105" t="str">
        <f t="shared" si="44"/>
        <v>$#ODWOŁANIE$#ODWOŁANIE</v>
      </c>
      <c r="J75" s="104"/>
      <c r="K75" s="104">
        <f t="shared" si="45"/>
        <v>4696</v>
      </c>
    </row>
    <row r="76" spans="1:15" s="115" customFormat="1" ht="15.75" customHeight="1" x14ac:dyDescent="0.25">
      <c r="A76" s="109" t="s">
        <v>31</v>
      </c>
      <c r="B76" s="110" t="s">
        <v>97</v>
      </c>
      <c r="C76" s="111" t="s">
        <v>87</v>
      </c>
      <c r="D76" s="112">
        <v>-72370</v>
      </c>
      <c r="E76" s="112">
        <f t="shared" si="43"/>
        <v>-65650</v>
      </c>
      <c r="F76" s="112">
        <f t="shared" si="43"/>
        <v>-69559</v>
      </c>
      <c r="G76" s="112">
        <f t="shared" si="43"/>
        <v>-64356</v>
      </c>
      <c r="H76" s="112">
        <f t="shared" si="43"/>
        <v>-64139</v>
      </c>
      <c r="I76" s="113" t="str">
        <f t="shared" si="44"/>
        <v>$#ODWOŁANIE$#ODWOŁANIE</v>
      </c>
      <c r="J76" s="112"/>
      <c r="K76" s="112">
        <f t="shared" si="45"/>
        <v>-65650</v>
      </c>
    </row>
    <row r="77" spans="1:15" s="115" customFormat="1" ht="15.75" customHeight="1" x14ac:dyDescent="0.25">
      <c r="A77" s="109" t="s">
        <v>33</v>
      </c>
      <c r="B77" s="110" t="s">
        <v>98</v>
      </c>
      <c r="C77" s="111" t="s">
        <v>87</v>
      </c>
      <c r="D77" s="112">
        <v>-72370</v>
      </c>
      <c r="E77" s="112">
        <f t="shared" si="43"/>
        <v>-65650</v>
      </c>
      <c r="F77" s="112">
        <f t="shared" si="43"/>
        <v>-69559</v>
      </c>
      <c r="G77" s="112">
        <f t="shared" si="43"/>
        <v>-64356</v>
      </c>
      <c r="H77" s="112">
        <f t="shared" si="43"/>
        <v>-64139</v>
      </c>
      <c r="I77" s="113" t="str">
        <f t="shared" si="44"/>
        <v>$#ODWOŁANIE$#ODWOŁANIE</v>
      </c>
      <c r="J77" s="112"/>
      <c r="K77" s="112">
        <f t="shared" si="45"/>
        <v>-65650</v>
      </c>
    </row>
    <row r="78" spans="1:15" s="85" customFormat="1" ht="15.75" customHeight="1" x14ac:dyDescent="0.25">
      <c r="A78" s="102" t="s">
        <v>99</v>
      </c>
      <c r="B78" s="116" t="s">
        <v>656</v>
      </c>
      <c r="C78" s="98" t="s">
        <v>87</v>
      </c>
      <c r="D78" s="104">
        <v>0</v>
      </c>
      <c r="E78" s="104">
        <f t="shared" si="43"/>
        <v>0</v>
      </c>
      <c r="F78" s="104">
        <f t="shared" si="43"/>
        <v>0</v>
      </c>
      <c r="G78" s="104">
        <f t="shared" si="43"/>
        <v>0</v>
      </c>
      <c r="H78" s="104">
        <f t="shared" si="43"/>
        <v>0</v>
      </c>
      <c r="I78" s="105" t="str">
        <f t="shared" si="44"/>
        <v>$#ODWOŁANIE$#ODWOŁANIE</v>
      </c>
      <c r="J78" s="104"/>
      <c r="K78" s="104">
        <f t="shared" si="45"/>
        <v>0</v>
      </c>
    </row>
    <row r="79" spans="1:15" s="85" customFormat="1" ht="15.75" customHeight="1" x14ac:dyDescent="0.25">
      <c r="A79" s="102" t="s">
        <v>100</v>
      </c>
      <c r="B79" s="116" t="s">
        <v>657</v>
      </c>
      <c r="C79" s="98" t="s">
        <v>87</v>
      </c>
      <c r="D79" s="112">
        <v>-72370</v>
      </c>
      <c r="E79" s="104">
        <f t="shared" si="43"/>
        <v>-65650</v>
      </c>
      <c r="F79" s="104">
        <f t="shared" si="43"/>
        <v>-69559</v>
      </c>
      <c r="G79" s="104">
        <f t="shared" si="43"/>
        <v>-64356</v>
      </c>
      <c r="H79" s="104">
        <f t="shared" si="43"/>
        <v>-64139</v>
      </c>
      <c r="I79" s="105" t="str">
        <f t="shared" si="44"/>
        <v>$#ODWOŁANIE$#ODWOŁANIE</v>
      </c>
      <c r="J79" s="104"/>
      <c r="K79" s="104">
        <f t="shared" si="45"/>
        <v>-65650</v>
      </c>
    </row>
    <row r="80" spans="1:15" s="81" customFormat="1" ht="15.75" customHeight="1" x14ac:dyDescent="0.25">
      <c r="A80" s="102" t="s">
        <v>35</v>
      </c>
      <c r="B80" s="103" t="s">
        <v>102</v>
      </c>
      <c r="C80" s="98" t="s">
        <v>87</v>
      </c>
      <c r="D80" s="104">
        <v>24779</v>
      </c>
      <c r="E80" s="104">
        <f t="shared" si="43"/>
        <v>23014</v>
      </c>
      <c r="F80" s="104">
        <f t="shared" si="43"/>
        <v>24034</v>
      </c>
      <c r="G80" s="104">
        <f t="shared" si="43"/>
        <v>23028</v>
      </c>
      <c r="H80" s="104">
        <f t="shared" si="43"/>
        <v>21021</v>
      </c>
      <c r="I80" s="105" t="str">
        <f t="shared" si="44"/>
        <v>$#ODWOŁANIE$#ODWOŁANIE</v>
      </c>
      <c r="J80" s="104"/>
      <c r="K80" s="104">
        <f t="shared" si="45"/>
        <v>23014</v>
      </c>
    </row>
    <row r="81" spans="1:15" s="81" customFormat="1" ht="15.75" customHeight="1" x14ac:dyDescent="0.25">
      <c r="A81" s="102" t="s">
        <v>37</v>
      </c>
      <c r="B81" s="103" t="s">
        <v>103</v>
      </c>
      <c r="C81" s="98" t="s">
        <v>87</v>
      </c>
      <c r="D81" s="104">
        <v>34086</v>
      </c>
      <c r="E81" s="104">
        <f t="shared" si="43"/>
        <v>35844</v>
      </c>
      <c r="F81" s="104">
        <f t="shared" si="43"/>
        <v>36479</v>
      </c>
      <c r="G81" s="104">
        <f t="shared" si="43"/>
        <v>35062</v>
      </c>
      <c r="H81" s="104">
        <f t="shared" si="43"/>
        <v>32803</v>
      </c>
      <c r="I81" s="105" t="str">
        <f t="shared" si="44"/>
        <v>$#ODWOŁANIE$#ODWOŁANIE</v>
      </c>
      <c r="J81" s="104"/>
      <c r="K81" s="104">
        <f t="shared" si="45"/>
        <v>35844</v>
      </c>
    </row>
    <row r="82" spans="1:15" s="85" customFormat="1" ht="15.75" customHeight="1" x14ac:dyDescent="0.25">
      <c r="A82" s="102" t="s">
        <v>41</v>
      </c>
      <c r="B82" s="107" t="s">
        <v>104</v>
      </c>
      <c r="C82" s="98" t="s">
        <v>87</v>
      </c>
      <c r="D82" s="104">
        <v>-3279</v>
      </c>
      <c r="E82" s="104">
        <f t="shared" si="43"/>
        <v>-4750</v>
      </c>
      <c r="F82" s="104">
        <f t="shared" si="43"/>
        <v>-4750</v>
      </c>
      <c r="G82" s="104">
        <f t="shared" si="43"/>
        <v>-4875</v>
      </c>
      <c r="H82" s="104">
        <f t="shared" si="43"/>
        <v>-4850</v>
      </c>
      <c r="I82" s="105" t="str">
        <f t="shared" si="44"/>
        <v>$#ODWOŁANIE$#ODWOŁANIE</v>
      </c>
      <c r="J82" s="104"/>
      <c r="K82" s="104">
        <f t="shared" si="45"/>
        <v>-4750</v>
      </c>
    </row>
    <row r="83" spans="1:15" s="85" customFormat="1" ht="15.75" customHeight="1" x14ac:dyDescent="0.25">
      <c r="A83" s="102" t="s">
        <v>44</v>
      </c>
      <c r="B83" s="107" t="s">
        <v>105</v>
      </c>
      <c r="C83" s="98" t="s">
        <v>87</v>
      </c>
      <c r="D83" s="104">
        <v>0</v>
      </c>
      <c r="E83" s="104">
        <f t="shared" si="43"/>
        <v>0</v>
      </c>
      <c r="F83" s="104">
        <f t="shared" si="43"/>
        <v>0</v>
      </c>
      <c r="G83" s="104">
        <f t="shared" si="43"/>
        <v>0</v>
      </c>
      <c r="H83" s="104">
        <f t="shared" si="43"/>
        <v>0</v>
      </c>
      <c r="I83" s="105" t="str">
        <f t="shared" si="44"/>
        <v>$#ODWOŁANIE$#ODWOŁANIE</v>
      </c>
      <c r="J83" s="104"/>
      <c r="K83" s="104">
        <f t="shared" si="45"/>
        <v>0</v>
      </c>
    </row>
    <row r="84" spans="1:15" s="85" customFormat="1" ht="15.75" customHeight="1" x14ac:dyDescent="0.25">
      <c r="A84" s="102" t="s">
        <v>48</v>
      </c>
      <c r="B84" s="107" t="s">
        <v>106</v>
      </c>
      <c r="C84" s="98" t="s">
        <v>87</v>
      </c>
      <c r="D84" s="104">
        <v>-618809</v>
      </c>
      <c r="E84" s="104">
        <f t="shared" si="43"/>
        <v>-778534</v>
      </c>
      <c r="F84" s="104">
        <f t="shared" si="43"/>
        <v>-760561</v>
      </c>
      <c r="G84" s="104">
        <f t="shared" si="43"/>
        <v>-780156</v>
      </c>
      <c r="H84" s="104">
        <f t="shared" si="43"/>
        <v>-800010</v>
      </c>
      <c r="I84" s="105" t="str">
        <f t="shared" si="44"/>
        <v>$#ODWOŁANIE$#ODWOŁANIE</v>
      </c>
      <c r="J84" s="104"/>
      <c r="K84" s="104">
        <f t="shared" si="45"/>
        <v>-778534</v>
      </c>
    </row>
    <row r="85" spans="1:15" s="85" customFormat="1" ht="15.75" customHeight="1" x14ac:dyDescent="0.25">
      <c r="A85" s="102" t="s">
        <v>50</v>
      </c>
      <c r="B85" s="107" t="s">
        <v>107</v>
      </c>
      <c r="C85" s="98" t="s">
        <v>87</v>
      </c>
      <c r="D85" s="104">
        <v>-2288</v>
      </c>
      <c r="E85" s="104">
        <f t="shared" si="43"/>
        <v>-3300</v>
      </c>
      <c r="F85" s="104">
        <f t="shared" si="43"/>
        <v>-3250</v>
      </c>
      <c r="G85" s="104">
        <f t="shared" si="43"/>
        <v>-3200</v>
      </c>
      <c r="H85" s="104">
        <f t="shared" si="43"/>
        <v>-3250</v>
      </c>
      <c r="I85" s="105" t="str">
        <f t="shared" si="44"/>
        <v>$#ODWOŁANIE$#ODWOŁANIE</v>
      </c>
      <c r="J85" s="104"/>
      <c r="K85" s="104">
        <f t="shared" si="45"/>
        <v>-3300</v>
      </c>
    </row>
    <row r="86" spans="1:15" s="60" customFormat="1" ht="9.9499999999999993" customHeight="1" x14ac:dyDescent="0.2">
      <c r="A86" s="117"/>
      <c r="B86" s="118"/>
      <c r="C86" s="119"/>
      <c r="D86" s="120"/>
      <c r="E86" s="120"/>
      <c r="F86" s="120"/>
      <c r="G86" s="120"/>
      <c r="H86" s="120"/>
      <c r="I86" s="121"/>
      <c r="J86" s="120"/>
      <c r="K86" s="120"/>
    </row>
    <row r="87" spans="1:15" s="95" customFormat="1" x14ac:dyDescent="0.25">
      <c r="A87" s="122" t="s">
        <v>108</v>
      </c>
      <c r="B87" s="123" t="s">
        <v>109</v>
      </c>
      <c r="C87" s="124" t="s">
        <v>87</v>
      </c>
      <c r="D87" s="125">
        <f t="shared" ref="D87:K87" si="46">SUM(D89,D94,D96,D98,D100)</f>
        <v>4662896</v>
      </c>
      <c r="E87" s="125">
        <f t="shared" si="46"/>
        <v>4691735</v>
      </c>
      <c r="F87" s="125">
        <f t="shared" si="46"/>
        <v>4924792</v>
      </c>
      <c r="G87" s="125">
        <f t="shared" si="46"/>
        <v>5105111</v>
      </c>
      <c r="H87" s="125">
        <f t="shared" si="46"/>
        <v>5208847</v>
      </c>
      <c r="I87" s="125">
        <f t="shared" si="46"/>
        <v>4885370</v>
      </c>
      <c r="J87" s="125">
        <f t="shared" si="46"/>
        <v>0</v>
      </c>
      <c r="K87" s="125">
        <f t="shared" si="46"/>
        <v>4691735</v>
      </c>
    </row>
    <row r="88" spans="1:15" s="131" customFormat="1" ht="9.9499999999999993" customHeight="1" x14ac:dyDescent="0.15">
      <c r="A88" s="126"/>
      <c r="B88" s="127"/>
      <c r="C88" s="128"/>
      <c r="D88" s="129"/>
      <c r="E88" s="129"/>
      <c r="F88" s="129"/>
      <c r="G88" s="129"/>
      <c r="H88" s="129"/>
      <c r="I88" s="130"/>
      <c r="J88" s="129"/>
      <c r="K88" s="129">
        <f>E88+J88</f>
        <v>0</v>
      </c>
    </row>
    <row r="89" spans="1:15" s="136" customFormat="1" x14ac:dyDescent="0.25">
      <c r="A89" s="109" t="s">
        <v>19</v>
      </c>
      <c r="B89" s="132" t="s">
        <v>110</v>
      </c>
      <c r="C89" s="133" t="s">
        <v>111</v>
      </c>
      <c r="D89" s="134">
        <f t="shared" ref="D89:K89" si="47">SUM(D90:D92)</f>
        <v>745360</v>
      </c>
      <c r="E89" s="134">
        <f t="shared" si="47"/>
        <v>745360</v>
      </c>
      <c r="F89" s="134">
        <f t="shared" si="47"/>
        <v>745360</v>
      </c>
      <c r="G89" s="134">
        <f t="shared" si="47"/>
        <v>745360</v>
      </c>
      <c r="H89" s="134">
        <f t="shared" si="47"/>
        <v>745360</v>
      </c>
      <c r="I89" s="134">
        <f t="shared" si="47"/>
        <v>747686</v>
      </c>
      <c r="J89" s="134">
        <f t="shared" si="47"/>
        <v>0</v>
      </c>
      <c r="K89" s="134">
        <f t="shared" si="47"/>
        <v>745360</v>
      </c>
    </row>
    <row r="90" spans="1:15" s="144" customFormat="1" x14ac:dyDescent="0.25">
      <c r="A90" s="137"/>
      <c r="B90" s="138" t="s">
        <v>112</v>
      </c>
      <c r="C90" s="139" t="s">
        <v>113</v>
      </c>
      <c r="D90" s="140">
        <v>0</v>
      </c>
      <c r="E90" s="141">
        <v>0</v>
      </c>
      <c r="F90" s="142"/>
      <c r="G90" s="142"/>
      <c r="H90" s="142">
        <v>0</v>
      </c>
      <c r="I90" s="143"/>
      <c r="J90" s="141"/>
      <c r="K90" s="141">
        <f>E90+J90</f>
        <v>0</v>
      </c>
    </row>
    <row r="91" spans="1:15" s="74" customFormat="1" ht="45" x14ac:dyDescent="0.25">
      <c r="A91" s="145" t="s">
        <v>21</v>
      </c>
      <c r="B91" s="146" t="s">
        <v>114</v>
      </c>
      <c r="C91" s="139" t="s">
        <v>115</v>
      </c>
      <c r="D91" s="147">
        <v>25000</v>
      </c>
      <c r="E91" s="148">
        <v>27500</v>
      </c>
      <c r="F91" s="148">
        <v>27500</v>
      </c>
      <c r="G91" s="148">
        <v>27500</v>
      </c>
      <c r="H91" s="148">
        <v>27500</v>
      </c>
      <c r="I91" s="149">
        <v>25000</v>
      </c>
      <c r="J91" s="148"/>
      <c r="K91" s="148">
        <f>E91+J91</f>
        <v>27500</v>
      </c>
    </row>
    <row r="92" spans="1:15" s="74" customFormat="1" x14ac:dyDescent="0.25">
      <c r="A92" s="150" t="s">
        <v>22</v>
      </c>
      <c r="B92" s="138" t="s">
        <v>116</v>
      </c>
      <c r="C92" s="139" t="s">
        <v>115</v>
      </c>
      <c r="D92" s="151">
        <f>720360</f>
        <v>720360</v>
      </c>
      <c r="E92" s="151">
        <v>717860</v>
      </c>
      <c r="F92" s="151">
        <v>717860</v>
      </c>
      <c r="G92" s="151">
        <v>717860</v>
      </c>
      <c r="H92" s="151">
        <v>717860</v>
      </c>
      <c r="I92" s="152">
        <f>747686-25000</f>
        <v>722686</v>
      </c>
      <c r="J92" s="151"/>
      <c r="K92" s="151">
        <f t="shared" ref="K92:K155" si="48">E92+J92</f>
        <v>717860</v>
      </c>
      <c r="L92" s="153">
        <f>D92/D27%</f>
        <v>22.824140435190923</v>
      </c>
      <c r="M92" s="153">
        <f>F92/F27%</f>
        <v>24.500341296928326</v>
      </c>
      <c r="N92" s="153">
        <f>G92/G27%</f>
        <v>24.252027027027026</v>
      </c>
      <c r="O92" s="153">
        <f>H92/H27%</f>
        <v>24.008695652173913</v>
      </c>
    </row>
    <row r="93" spans="1:15" s="74" customFormat="1" x14ac:dyDescent="0.25">
      <c r="A93" s="150"/>
      <c r="B93" s="138"/>
      <c r="C93" s="139"/>
      <c r="D93" s="154"/>
      <c r="E93" s="154"/>
      <c r="F93" s="154"/>
      <c r="G93" s="154"/>
      <c r="H93" s="154"/>
      <c r="I93" s="155"/>
      <c r="J93" s="154"/>
      <c r="K93" s="154">
        <f t="shared" si="48"/>
        <v>0</v>
      </c>
      <c r="L93" s="61">
        <v>2013</v>
      </c>
      <c r="M93" s="61">
        <v>2014</v>
      </c>
      <c r="N93" s="61">
        <v>2015</v>
      </c>
      <c r="O93" s="61">
        <v>2016</v>
      </c>
    </row>
    <row r="94" spans="1:15" s="74" customFormat="1" x14ac:dyDescent="0.25">
      <c r="A94" s="156" t="s">
        <v>23</v>
      </c>
      <c r="B94" s="157" t="s">
        <v>117</v>
      </c>
      <c r="C94" s="158" t="s">
        <v>113</v>
      </c>
      <c r="D94" s="159">
        <v>59367</v>
      </c>
      <c r="E94" s="159">
        <v>39203</v>
      </c>
      <c r="F94" s="159">
        <v>31000</v>
      </c>
      <c r="G94" s="160"/>
      <c r="H94" s="160"/>
      <c r="I94" s="161"/>
      <c r="J94" s="159"/>
      <c r="K94" s="159">
        <f t="shared" si="48"/>
        <v>39203</v>
      </c>
    </row>
    <row r="95" spans="1:15" s="74" customFormat="1" ht="9.9499999999999993" customHeight="1" x14ac:dyDescent="0.25">
      <c r="A95" s="156"/>
      <c r="B95" s="157"/>
      <c r="C95" s="158"/>
      <c r="D95" s="160"/>
      <c r="E95" s="160"/>
      <c r="F95" s="160"/>
      <c r="G95" s="160"/>
      <c r="H95" s="160"/>
      <c r="I95" s="161"/>
      <c r="J95" s="160"/>
      <c r="K95" s="160">
        <f t="shared" si="48"/>
        <v>0</v>
      </c>
    </row>
    <row r="96" spans="1:15" s="144" customFormat="1" x14ac:dyDescent="0.25">
      <c r="A96" s="137" t="s">
        <v>27</v>
      </c>
      <c r="B96" s="157" t="s">
        <v>118</v>
      </c>
      <c r="C96" s="162" t="s">
        <v>119</v>
      </c>
      <c r="D96" s="163">
        <v>3666625</v>
      </c>
      <c r="E96" s="998">
        <v>3762000</v>
      </c>
      <c r="F96" s="998">
        <v>4016000</v>
      </c>
      <c r="G96" s="998">
        <v>4232696</v>
      </c>
      <c r="H96" s="998">
        <v>4336542</v>
      </c>
      <c r="I96" s="999">
        <v>4070000</v>
      </c>
      <c r="J96" s="998"/>
      <c r="K96" s="998">
        <f t="shared" si="48"/>
        <v>3762000</v>
      </c>
    </row>
    <row r="97" spans="1:15" s="74" customFormat="1" ht="9" customHeight="1" x14ac:dyDescent="0.25">
      <c r="A97" s="150"/>
      <c r="B97" s="165"/>
      <c r="C97" s="166"/>
      <c r="D97" s="167"/>
      <c r="E97" s="1000"/>
      <c r="F97" s="1000"/>
      <c r="G97" s="1000"/>
      <c r="H97" s="1000"/>
      <c r="I97" s="999"/>
      <c r="J97" s="1000"/>
      <c r="K97" s="1000">
        <f t="shared" si="48"/>
        <v>0</v>
      </c>
    </row>
    <row r="98" spans="1:15" s="144" customFormat="1" ht="31.5" x14ac:dyDescent="0.25">
      <c r="A98" s="137" t="s">
        <v>29</v>
      </c>
      <c r="B98" s="168" t="s">
        <v>120</v>
      </c>
      <c r="C98" s="162" t="s">
        <v>121</v>
      </c>
      <c r="D98" s="159">
        <v>7384</v>
      </c>
      <c r="E98" s="169">
        <v>1825</v>
      </c>
      <c r="F98" s="169">
        <v>1825</v>
      </c>
      <c r="G98" s="169">
        <v>1825</v>
      </c>
      <c r="H98" s="169">
        <v>1825</v>
      </c>
      <c r="I98" s="164">
        <v>0</v>
      </c>
      <c r="J98" s="169"/>
      <c r="K98" s="169">
        <f t="shared" si="48"/>
        <v>1825</v>
      </c>
    </row>
    <row r="99" spans="1:15" ht="9.9499999999999993" customHeight="1" x14ac:dyDescent="0.25">
      <c r="A99" s="150"/>
      <c r="B99" s="165"/>
      <c r="C99" s="166"/>
      <c r="D99" s="167"/>
      <c r="E99" s="167"/>
      <c r="F99" s="167"/>
      <c r="G99" s="167"/>
      <c r="H99" s="167"/>
      <c r="I99" s="164"/>
      <c r="J99" s="167"/>
      <c r="K99" s="167">
        <f t="shared" si="48"/>
        <v>0</v>
      </c>
    </row>
    <row r="100" spans="1:15" s="136" customFormat="1" x14ac:dyDescent="0.25">
      <c r="A100" s="109" t="s">
        <v>31</v>
      </c>
      <c r="B100" s="132" t="s">
        <v>122</v>
      </c>
      <c r="C100" s="133" t="s">
        <v>87</v>
      </c>
      <c r="D100" s="134">
        <f t="shared" ref="D100:K100" si="49">SUM(D101:D108)</f>
        <v>184160</v>
      </c>
      <c r="E100" s="134">
        <f t="shared" si="49"/>
        <v>143347</v>
      </c>
      <c r="F100" s="134">
        <f t="shared" si="49"/>
        <v>130607</v>
      </c>
      <c r="G100" s="134">
        <f t="shared" si="49"/>
        <v>125230</v>
      </c>
      <c r="H100" s="134">
        <f t="shared" si="49"/>
        <v>125120</v>
      </c>
      <c r="I100" s="134">
        <f t="shared" si="49"/>
        <v>67684</v>
      </c>
      <c r="J100" s="134">
        <f t="shared" si="49"/>
        <v>0</v>
      </c>
      <c r="K100" s="134">
        <f t="shared" si="49"/>
        <v>143347</v>
      </c>
    </row>
    <row r="101" spans="1:15" s="173" customFormat="1" x14ac:dyDescent="0.25">
      <c r="A101" s="102" t="s">
        <v>33</v>
      </c>
      <c r="B101" s="170" t="s">
        <v>123</v>
      </c>
      <c r="C101" s="98" t="s">
        <v>124</v>
      </c>
      <c r="D101" s="171">
        <v>50</v>
      </c>
      <c r="E101" s="171">
        <v>53</v>
      </c>
      <c r="F101" s="171">
        <v>56</v>
      </c>
      <c r="G101" s="171">
        <v>59</v>
      </c>
      <c r="H101" s="171">
        <v>62</v>
      </c>
      <c r="I101" s="172"/>
      <c r="J101" s="171"/>
      <c r="K101" s="171">
        <f t="shared" si="48"/>
        <v>53</v>
      </c>
    </row>
    <row r="102" spans="1:15" s="173" customFormat="1" x14ac:dyDescent="0.25">
      <c r="A102" s="102" t="s">
        <v>34</v>
      </c>
      <c r="B102" s="170" t="s">
        <v>125</v>
      </c>
      <c r="C102" s="98" t="s">
        <v>126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4">
        <v>67684</v>
      </c>
      <c r="J102" s="171"/>
      <c r="K102" s="171">
        <f t="shared" si="48"/>
        <v>0</v>
      </c>
      <c r="L102" s="172">
        <f>D91+D92</f>
        <v>745360</v>
      </c>
      <c r="M102" s="172">
        <f>F91+F92</f>
        <v>745360</v>
      </c>
      <c r="N102" s="172">
        <f>G91+G92</f>
        <v>745360</v>
      </c>
      <c r="O102" s="172">
        <f>H91+H92</f>
        <v>745360</v>
      </c>
    </row>
    <row r="103" spans="1:15" s="173" customFormat="1" ht="15" x14ac:dyDescent="0.25">
      <c r="A103" s="102" t="s">
        <v>127</v>
      </c>
      <c r="B103" s="170" t="s">
        <v>128</v>
      </c>
      <c r="C103" s="98" t="s">
        <v>129</v>
      </c>
      <c r="D103" s="104">
        <v>35000</v>
      </c>
      <c r="E103" s="104">
        <v>35000</v>
      </c>
      <c r="F103" s="104">
        <v>35000</v>
      </c>
      <c r="G103" s="104">
        <v>35000</v>
      </c>
      <c r="H103" s="104">
        <v>35000</v>
      </c>
      <c r="I103" s="105"/>
      <c r="J103" s="104"/>
      <c r="K103" s="104">
        <f t="shared" si="48"/>
        <v>35000</v>
      </c>
    </row>
    <row r="104" spans="1:15" s="173" customFormat="1" ht="15" x14ac:dyDescent="0.25">
      <c r="A104" s="102" t="s">
        <v>130</v>
      </c>
      <c r="B104" s="170" t="s">
        <v>131</v>
      </c>
      <c r="C104" s="98" t="s">
        <v>132</v>
      </c>
      <c r="D104" s="104">
        <v>21619</v>
      </c>
      <c r="E104" s="104">
        <f>12231+3000</f>
        <v>15231</v>
      </c>
      <c r="F104" s="104">
        <f>9564+3000</f>
        <v>12564</v>
      </c>
      <c r="G104" s="104">
        <f>9024+3000</f>
        <v>12024</v>
      </c>
      <c r="H104" s="104">
        <f>9022+3000</f>
        <v>12022</v>
      </c>
      <c r="I104" s="105"/>
      <c r="J104" s="104"/>
      <c r="K104" s="104">
        <f t="shared" si="48"/>
        <v>15231</v>
      </c>
      <c r="L104" s="175">
        <f>D91+M27</f>
        <v>971839</v>
      </c>
      <c r="M104" s="175">
        <f>F91+N27</f>
        <v>906500</v>
      </c>
      <c r="N104" s="175">
        <f>G91+O27</f>
        <v>915500</v>
      </c>
      <c r="O104" s="175">
        <f>H91+P27</f>
        <v>924500</v>
      </c>
    </row>
    <row r="105" spans="1:15" s="173" customFormat="1" ht="15" x14ac:dyDescent="0.25">
      <c r="A105" s="102" t="s">
        <v>133</v>
      </c>
      <c r="B105" s="170" t="s">
        <v>134</v>
      </c>
      <c r="C105" s="98" t="s">
        <v>135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5"/>
      <c r="J105" s="104"/>
      <c r="K105" s="104">
        <f t="shared" si="48"/>
        <v>0</v>
      </c>
    </row>
    <row r="106" spans="1:15" s="173" customFormat="1" ht="15" x14ac:dyDescent="0.25">
      <c r="A106" s="102" t="s">
        <v>136</v>
      </c>
      <c r="B106" s="170" t="s">
        <v>137</v>
      </c>
      <c r="C106" s="98" t="s">
        <v>138</v>
      </c>
      <c r="D106" s="104">
        <v>119250</v>
      </c>
      <c r="E106" s="104">
        <f>74813+7000</f>
        <v>81813</v>
      </c>
      <c r="F106" s="104">
        <f>68977+7000</f>
        <v>75977</v>
      </c>
      <c r="G106" s="104">
        <f>66854+7000</f>
        <v>73854</v>
      </c>
      <c r="H106" s="104">
        <f>66666+7000</f>
        <v>73666</v>
      </c>
      <c r="I106" s="105"/>
      <c r="J106" s="104"/>
      <c r="K106" s="104">
        <f t="shared" si="48"/>
        <v>81813</v>
      </c>
    </row>
    <row r="107" spans="1:15" s="173" customFormat="1" ht="15" x14ac:dyDescent="0.25">
      <c r="A107" s="102" t="s">
        <v>139</v>
      </c>
      <c r="B107" s="170" t="s">
        <v>140</v>
      </c>
      <c r="C107" s="98" t="s">
        <v>141</v>
      </c>
      <c r="D107" s="104">
        <v>8241</v>
      </c>
      <c r="E107" s="104">
        <v>11250</v>
      </c>
      <c r="F107" s="104">
        <v>7010</v>
      </c>
      <c r="G107" s="104">
        <v>4293</v>
      </c>
      <c r="H107" s="104">
        <v>4370</v>
      </c>
      <c r="I107" s="105"/>
      <c r="J107" s="104"/>
      <c r="K107" s="104">
        <f t="shared" si="48"/>
        <v>11250</v>
      </c>
      <c r="L107" s="176">
        <f>L102/L104%</f>
        <v>76.695831305391124</v>
      </c>
      <c r="M107" s="176">
        <f>M102/M104%</f>
        <v>82.223938223938219</v>
      </c>
      <c r="N107" s="176">
        <f>N102/N104%</f>
        <v>81.415619879847071</v>
      </c>
      <c r="O107" s="176">
        <f>O102/O104%</f>
        <v>80.623039480800429</v>
      </c>
    </row>
    <row r="108" spans="1:15" s="173" customFormat="1" x14ac:dyDescent="0.25">
      <c r="A108" s="102" t="s">
        <v>142</v>
      </c>
      <c r="B108" s="170" t="s">
        <v>143</v>
      </c>
      <c r="C108" s="98" t="s">
        <v>144</v>
      </c>
      <c r="D108" s="177">
        <v>0</v>
      </c>
      <c r="E108" s="177">
        <v>0</v>
      </c>
      <c r="F108" s="177">
        <v>0</v>
      </c>
      <c r="G108" s="177">
        <v>0</v>
      </c>
      <c r="H108" s="177">
        <v>0</v>
      </c>
      <c r="I108" s="178"/>
      <c r="J108" s="177"/>
      <c r="K108" s="177">
        <f t="shared" si="48"/>
        <v>0</v>
      </c>
    </row>
    <row r="109" spans="1:15" s="181" customFormat="1" ht="9.9499999999999993" customHeight="1" x14ac:dyDescent="0.2">
      <c r="A109" s="179"/>
      <c r="B109" s="180"/>
      <c r="C109" s="119"/>
      <c r="D109" s="120"/>
      <c r="E109" s="120"/>
      <c r="F109" s="120"/>
      <c r="G109" s="120"/>
      <c r="H109" s="120"/>
      <c r="I109" s="121"/>
      <c r="J109" s="120"/>
      <c r="K109" s="120">
        <f t="shared" si="48"/>
        <v>0</v>
      </c>
      <c r="L109" s="182">
        <f>D92/M27%</f>
        <v>76.080516328541606</v>
      </c>
      <c r="M109" s="182">
        <f>F92/N27%</f>
        <v>81.66780432309443</v>
      </c>
      <c r="N109" s="182">
        <f>G92/O27%</f>
        <v>80.840090090090087</v>
      </c>
      <c r="O109" s="182">
        <f>H92/P27%</f>
        <v>80.028985507246375</v>
      </c>
    </row>
    <row r="110" spans="1:15" s="95" customFormat="1" ht="15" customHeight="1" x14ac:dyDescent="0.25">
      <c r="A110" s="122" t="s">
        <v>145</v>
      </c>
      <c r="B110" s="123" t="s">
        <v>146</v>
      </c>
      <c r="C110" s="124" t="s">
        <v>87</v>
      </c>
      <c r="D110" s="92" t="e">
        <f t="shared" ref="D110:K110" si="50">SUM(D112,D172,D191,D196,D239,D281,D291)</f>
        <v>#REF!</v>
      </c>
      <c r="E110" s="92">
        <f t="shared" si="50"/>
        <v>4993040</v>
      </c>
      <c r="F110" s="92">
        <f t="shared" si="50"/>
        <v>4966014</v>
      </c>
      <c r="G110" s="92">
        <f t="shared" si="50"/>
        <v>5062735</v>
      </c>
      <c r="H110" s="92">
        <f t="shared" si="50"/>
        <v>5206064</v>
      </c>
      <c r="I110" s="92" t="e">
        <f t="shared" si="50"/>
        <v>#VALUE!</v>
      </c>
      <c r="J110" s="92">
        <f t="shared" si="50"/>
        <v>0</v>
      </c>
      <c r="K110" s="92">
        <f t="shared" si="50"/>
        <v>4993040</v>
      </c>
    </row>
    <row r="111" spans="1:15" s="60" customFormat="1" ht="12.75" customHeight="1" x14ac:dyDescent="0.2">
      <c r="A111" s="183"/>
      <c r="B111" s="184"/>
      <c r="C111" s="185"/>
      <c r="D111" s="186"/>
      <c r="E111" s="186"/>
      <c r="F111" s="186"/>
      <c r="G111" s="186"/>
      <c r="H111" s="186"/>
      <c r="I111" s="187"/>
      <c r="J111" s="186"/>
      <c r="K111" s="186">
        <f t="shared" si="48"/>
        <v>0</v>
      </c>
    </row>
    <row r="112" spans="1:15" s="136" customFormat="1" x14ac:dyDescent="0.25">
      <c r="A112" s="109" t="s">
        <v>19</v>
      </c>
      <c r="B112" s="132" t="s">
        <v>147</v>
      </c>
      <c r="C112" s="111" t="s">
        <v>87</v>
      </c>
      <c r="D112" s="188">
        <f>SUM(D113,D142)</f>
        <v>3521311</v>
      </c>
      <c r="E112" s="188">
        <f>SUM(E113,E142)</f>
        <v>3556744</v>
      </c>
      <c r="F112" s="188">
        <f t="shared" ref="F112:K112" si="51">SUM(F113,F142)</f>
        <v>3443603</v>
      </c>
      <c r="G112" s="188">
        <f t="shared" si="51"/>
        <v>3485863</v>
      </c>
      <c r="H112" s="188">
        <f t="shared" si="51"/>
        <v>3530008</v>
      </c>
      <c r="I112" s="188">
        <f t="shared" si="51"/>
        <v>0</v>
      </c>
      <c r="J112" s="188">
        <f t="shared" si="51"/>
        <v>0</v>
      </c>
      <c r="K112" s="188">
        <f t="shared" si="51"/>
        <v>3556744</v>
      </c>
    </row>
    <row r="113" spans="1:11" s="193" customFormat="1" ht="15" x14ac:dyDescent="0.25">
      <c r="A113" s="189" t="s">
        <v>21</v>
      </c>
      <c r="B113" s="190" t="s">
        <v>148</v>
      </c>
      <c r="C113" s="191" t="s">
        <v>87</v>
      </c>
      <c r="D113" s="192">
        <f>SUM(D114:D115)</f>
        <v>137352</v>
      </c>
      <c r="E113" s="192">
        <f>SUM(E114:E115)</f>
        <v>151095</v>
      </c>
      <c r="F113" s="192">
        <f t="shared" ref="F113:K113" si="52">SUM(F114:F115)</f>
        <v>240175</v>
      </c>
      <c r="G113" s="192">
        <f t="shared" si="52"/>
        <v>247097</v>
      </c>
      <c r="H113" s="192">
        <f t="shared" si="52"/>
        <v>255567</v>
      </c>
      <c r="I113" s="192">
        <f t="shared" si="52"/>
        <v>0</v>
      </c>
      <c r="J113" s="192">
        <f t="shared" si="52"/>
        <v>0</v>
      </c>
      <c r="K113" s="192">
        <f t="shared" si="52"/>
        <v>151095</v>
      </c>
    </row>
    <row r="114" spans="1:11" s="193" customFormat="1" ht="16.5" customHeight="1" x14ac:dyDescent="0.25">
      <c r="A114" s="189" t="s">
        <v>149</v>
      </c>
      <c r="B114" s="194" t="s">
        <v>150</v>
      </c>
      <c r="C114" s="191" t="s">
        <v>151</v>
      </c>
      <c r="D114" s="192">
        <f>SUM(D117:D121)</f>
        <v>126500</v>
      </c>
      <c r="E114" s="192">
        <f>SUM(E117:E121)</f>
        <v>140332</v>
      </c>
      <c r="F114" s="192">
        <f t="shared" ref="F114:K114" si="53">SUM(F117:F121)</f>
        <v>239397</v>
      </c>
      <c r="G114" s="192">
        <f t="shared" si="53"/>
        <v>247097</v>
      </c>
      <c r="H114" s="192">
        <f t="shared" si="53"/>
        <v>255567</v>
      </c>
      <c r="I114" s="192">
        <f t="shared" si="53"/>
        <v>0</v>
      </c>
      <c r="J114" s="192">
        <f t="shared" si="53"/>
        <v>0</v>
      </c>
      <c r="K114" s="192">
        <f t="shared" si="53"/>
        <v>140332</v>
      </c>
    </row>
    <row r="115" spans="1:11" s="193" customFormat="1" ht="16.5" customHeight="1" x14ac:dyDescent="0.25">
      <c r="A115" s="189" t="s">
        <v>152</v>
      </c>
      <c r="B115" s="194" t="s">
        <v>153</v>
      </c>
      <c r="C115" s="191" t="s">
        <v>154</v>
      </c>
      <c r="D115" s="192">
        <f t="shared" ref="D115:K115" si="54">SUM(D116)</f>
        <v>10852</v>
      </c>
      <c r="E115" s="192">
        <f t="shared" si="54"/>
        <v>10763</v>
      </c>
      <c r="F115" s="192">
        <f t="shared" si="54"/>
        <v>778</v>
      </c>
      <c r="G115" s="192">
        <f t="shared" si="54"/>
        <v>0</v>
      </c>
      <c r="H115" s="192">
        <f t="shared" si="54"/>
        <v>0</v>
      </c>
      <c r="I115" s="192">
        <f t="shared" si="54"/>
        <v>0</v>
      </c>
      <c r="J115" s="192">
        <f t="shared" si="54"/>
        <v>0</v>
      </c>
      <c r="K115" s="192">
        <f t="shared" si="54"/>
        <v>10763</v>
      </c>
    </row>
    <row r="116" spans="1:11" s="85" customFormat="1" ht="15" x14ac:dyDescent="0.25">
      <c r="A116" s="102"/>
      <c r="B116" s="170" t="s">
        <v>155</v>
      </c>
      <c r="C116" s="98" t="s">
        <v>154</v>
      </c>
      <c r="D116" s="195">
        <v>10852</v>
      </c>
      <c r="E116" s="195">
        <v>10763</v>
      </c>
      <c r="F116" s="195">
        <v>778</v>
      </c>
      <c r="G116" s="195">
        <v>0</v>
      </c>
      <c r="H116" s="195">
        <v>0</v>
      </c>
      <c r="I116" s="196"/>
      <c r="J116" s="195"/>
      <c r="K116" s="195">
        <f t="shared" si="48"/>
        <v>10763</v>
      </c>
    </row>
    <row r="117" spans="1:11" s="85" customFormat="1" ht="15" x14ac:dyDescent="0.25">
      <c r="A117" s="102"/>
      <c r="B117" s="170" t="s">
        <v>156</v>
      </c>
      <c r="C117" s="98" t="s">
        <v>151</v>
      </c>
      <c r="D117" s="195">
        <v>1300</v>
      </c>
      <c r="E117" s="1006">
        <v>1355</v>
      </c>
      <c r="F117" s="1007">
        <v>4500</v>
      </c>
      <c r="G117" s="1007">
        <v>4500</v>
      </c>
      <c r="H117" s="1007">
        <v>4500</v>
      </c>
      <c r="I117" s="1001"/>
      <c r="J117" s="1006"/>
      <c r="K117" s="1006">
        <f t="shared" si="48"/>
        <v>1355</v>
      </c>
    </row>
    <row r="118" spans="1:11" s="85" customFormat="1" ht="45" x14ac:dyDescent="0.25">
      <c r="A118" s="102"/>
      <c r="B118" s="197" t="s">
        <v>157</v>
      </c>
      <c r="C118" s="98" t="s">
        <v>151</v>
      </c>
      <c r="D118" s="195">
        <v>50000</v>
      </c>
      <c r="E118" s="195">
        <v>55000</v>
      </c>
      <c r="F118" s="195">
        <v>55000</v>
      </c>
      <c r="G118" s="195">
        <v>55000</v>
      </c>
      <c r="H118" s="195">
        <v>55000</v>
      </c>
      <c r="I118" s="196"/>
      <c r="J118" s="195"/>
      <c r="K118" s="195">
        <f t="shared" si="48"/>
        <v>55000</v>
      </c>
    </row>
    <row r="119" spans="1:11" x14ac:dyDescent="0.25">
      <c r="A119" s="150"/>
      <c r="B119" s="170" t="s">
        <v>158</v>
      </c>
      <c r="C119" s="98" t="s">
        <v>151</v>
      </c>
      <c r="D119" s="195">
        <v>1200</v>
      </c>
      <c r="E119" s="195">
        <v>2000</v>
      </c>
      <c r="F119" s="195">
        <v>2000</v>
      </c>
      <c r="G119" s="195">
        <v>2000</v>
      </c>
      <c r="H119" s="195">
        <v>2000</v>
      </c>
      <c r="I119" s="196"/>
      <c r="J119" s="195"/>
      <c r="K119" s="195">
        <f t="shared" si="48"/>
        <v>2000</v>
      </c>
    </row>
    <row r="120" spans="1:11" x14ac:dyDescent="0.25">
      <c r="A120" s="150"/>
      <c r="B120" s="170" t="s">
        <v>159</v>
      </c>
      <c r="C120" s="98" t="s">
        <v>151</v>
      </c>
      <c r="D120" s="195">
        <v>200</v>
      </c>
      <c r="E120" s="195">
        <v>300</v>
      </c>
      <c r="F120" s="195">
        <v>300</v>
      </c>
      <c r="G120" s="195">
        <v>300</v>
      </c>
      <c r="H120" s="195">
        <v>300</v>
      </c>
      <c r="I120" s="196"/>
      <c r="J120" s="195"/>
      <c r="K120" s="195">
        <f t="shared" si="48"/>
        <v>300</v>
      </c>
    </row>
    <row r="121" spans="1:11" s="199" customFormat="1" ht="30" x14ac:dyDescent="0.25">
      <c r="A121" s="110"/>
      <c r="B121" s="198" t="s">
        <v>160</v>
      </c>
      <c r="C121" s="191" t="s">
        <v>151</v>
      </c>
      <c r="D121" s="192">
        <f t="shared" ref="D121:K121" si="55">SUM(D122:D140)</f>
        <v>73800</v>
      </c>
      <c r="E121" s="192">
        <f t="shared" si="55"/>
        <v>81677</v>
      </c>
      <c r="F121" s="192">
        <f t="shared" si="55"/>
        <v>177597</v>
      </c>
      <c r="G121" s="192">
        <f t="shared" si="55"/>
        <v>185297</v>
      </c>
      <c r="H121" s="192">
        <f t="shared" si="55"/>
        <v>193767</v>
      </c>
      <c r="I121" s="192">
        <f t="shared" si="55"/>
        <v>0</v>
      </c>
      <c r="J121" s="192">
        <f t="shared" si="55"/>
        <v>0</v>
      </c>
      <c r="K121" s="192">
        <f t="shared" si="55"/>
        <v>81677</v>
      </c>
    </row>
    <row r="122" spans="1:11" x14ac:dyDescent="0.25">
      <c r="A122" s="150"/>
      <c r="B122" s="200" t="s">
        <v>161</v>
      </c>
      <c r="C122" s="98"/>
      <c r="D122" s="195">
        <v>0</v>
      </c>
      <c r="E122" s="195">
        <v>0</v>
      </c>
      <c r="F122" s="195"/>
      <c r="G122" s="195"/>
      <c r="H122" s="195"/>
      <c r="I122" s="196"/>
      <c r="J122" s="195"/>
      <c r="K122" s="195">
        <f t="shared" si="48"/>
        <v>0</v>
      </c>
    </row>
    <row r="123" spans="1:11" x14ac:dyDescent="0.25">
      <c r="A123" s="150"/>
      <c r="B123" s="200" t="s">
        <v>162</v>
      </c>
      <c r="C123" s="98"/>
      <c r="D123" s="195">
        <v>3826</v>
      </c>
      <c r="E123" s="195">
        <v>5000</v>
      </c>
      <c r="F123" s="195">
        <v>5000</v>
      </c>
      <c r="G123" s="195">
        <v>5000</v>
      </c>
      <c r="H123" s="195">
        <v>5000</v>
      </c>
      <c r="I123" s="196"/>
      <c r="J123" s="195"/>
      <c r="K123" s="195">
        <f t="shared" si="48"/>
        <v>5000</v>
      </c>
    </row>
    <row r="124" spans="1:11" x14ac:dyDescent="0.25">
      <c r="A124" s="150"/>
      <c r="B124" s="200" t="s">
        <v>163</v>
      </c>
      <c r="C124" s="98"/>
      <c r="D124" s="195">
        <v>0</v>
      </c>
      <c r="E124" s="195">
        <v>0</v>
      </c>
      <c r="F124" s="195"/>
      <c r="G124" s="195"/>
      <c r="H124" s="195"/>
      <c r="I124" s="196"/>
      <c r="J124" s="195"/>
      <c r="K124" s="195">
        <f t="shared" si="48"/>
        <v>0</v>
      </c>
    </row>
    <row r="125" spans="1:11" x14ac:dyDescent="0.25">
      <c r="A125" s="150"/>
      <c r="B125" s="200" t="s">
        <v>164</v>
      </c>
      <c r="C125" s="98"/>
      <c r="D125" s="195">
        <v>0</v>
      </c>
      <c r="E125" s="195">
        <v>0</v>
      </c>
      <c r="F125" s="195"/>
      <c r="G125" s="195"/>
      <c r="H125" s="195"/>
      <c r="I125" s="196"/>
      <c r="J125" s="195"/>
      <c r="K125" s="195">
        <f t="shared" si="48"/>
        <v>0</v>
      </c>
    </row>
    <row r="126" spans="1:11" x14ac:dyDescent="0.25">
      <c r="A126" s="150"/>
      <c r="B126" s="200" t="s">
        <v>165</v>
      </c>
      <c r="C126" s="98"/>
      <c r="D126" s="195">
        <v>0</v>
      </c>
      <c r="E126" s="195">
        <v>0</v>
      </c>
      <c r="F126" s="195"/>
      <c r="G126" s="195"/>
      <c r="H126" s="195"/>
      <c r="I126" s="196"/>
      <c r="J126" s="195"/>
      <c r="K126" s="195">
        <f t="shared" si="48"/>
        <v>0</v>
      </c>
    </row>
    <row r="127" spans="1:11" x14ac:dyDescent="0.25">
      <c r="A127" s="150"/>
      <c r="B127" s="200" t="s">
        <v>166</v>
      </c>
      <c r="C127" s="98"/>
      <c r="D127" s="195">
        <v>0</v>
      </c>
      <c r="E127" s="195">
        <v>0</v>
      </c>
      <c r="F127" s="195"/>
      <c r="G127" s="195"/>
      <c r="H127" s="195"/>
      <c r="I127" s="196"/>
      <c r="J127" s="195"/>
      <c r="K127" s="195">
        <f t="shared" si="48"/>
        <v>0</v>
      </c>
    </row>
    <row r="128" spans="1:11" x14ac:dyDescent="0.25">
      <c r="A128" s="150"/>
      <c r="B128" s="200" t="s">
        <v>167</v>
      </c>
      <c r="C128" s="98"/>
      <c r="D128" s="195">
        <v>0</v>
      </c>
      <c r="E128" s="195">
        <v>0</v>
      </c>
      <c r="F128" s="195"/>
      <c r="G128" s="195"/>
      <c r="H128" s="195"/>
      <c r="I128" s="196"/>
      <c r="J128" s="195"/>
      <c r="K128" s="195">
        <f t="shared" si="48"/>
        <v>0</v>
      </c>
    </row>
    <row r="129" spans="1:13" x14ac:dyDescent="0.25">
      <c r="A129" s="150"/>
      <c r="B129" s="200" t="s">
        <v>168</v>
      </c>
      <c r="C129" s="98"/>
      <c r="D129" s="195">
        <v>0</v>
      </c>
      <c r="E129" s="195">
        <v>0</v>
      </c>
      <c r="F129" s="195"/>
      <c r="G129" s="195"/>
      <c r="H129" s="195"/>
      <c r="I129" s="196"/>
      <c r="J129" s="195"/>
      <c r="K129" s="195">
        <f t="shared" si="48"/>
        <v>0</v>
      </c>
    </row>
    <row r="130" spans="1:13" x14ac:dyDescent="0.25">
      <c r="A130" s="150"/>
      <c r="B130" s="200" t="s">
        <v>169</v>
      </c>
      <c r="C130" s="98"/>
      <c r="D130" s="195">
        <v>0</v>
      </c>
      <c r="E130" s="195">
        <v>0</v>
      </c>
      <c r="F130" s="195"/>
      <c r="G130" s="195"/>
      <c r="H130" s="201"/>
      <c r="I130" s="196"/>
      <c r="J130" s="195"/>
      <c r="K130" s="195">
        <f t="shared" si="48"/>
        <v>0</v>
      </c>
    </row>
    <row r="131" spans="1:13" x14ac:dyDescent="0.25">
      <c r="A131" s="150"/>
      <c r="B131" s="200" t="s">
        <v>170</v>
      </c>
      <c r="C131" s="98"/>
      <c r="D131" s="195">
        <v>0</v>
      </c>
      <c r="E131" s="195">
        <v>0</v>
      </c>
      <c r="F131" s="195"/>
      <c r="G131" s="195"/>
      <c r="H131" s="195"/>
      <c r="I131" s="196"/>
      <c r="J131" s="195"/>
      <c r="K131" s="195">
        <f t="shared" si="48"/>
        <v>0</v>
      </c>
    </row>
    <row r="132" spans="1:13" x14ac:dyDescent="0.25">
      <c r="A132" s="150"/>
      <c r="B132" s="200" t="s">
        <v>171</v>
      </c>
      <c r="C132" s="98"/>
      <c r="D132" s="195">
        <v>0</v>
      </c>
      <c r="E132" s="195">
        <v>0</v>
      </c>
      <c r="F132" s="195"/>
      <c r="G132" s="195"/>
      <c r="H132" s="195"/>
      <c r="I132" s="196"/>
      <c r="J132" s="195"/>
      <c r="K132" s="195">
        <f t="shared" si="48"/>
        <v>0</v>
      </c>
    </row>
    <row r="133" spans="1:13" x14ac:dyDescent="0.25">
      <c r="A133" s="150"/>
      <c r="B133" s="200" t="s">
        <v>172</v>
      </c>
      <c r="C133" s="98"/>
      <c r="D133" s="195">
        <v>0</v>
      </c>
      <c r="E133" s="195">
        <v>0</v>
      </c>
      <c r="F133" s="195"/>
      <c r="G133" s="195"/>
      <c r="H133" s="195"/>
      <c r="I133" s="196"/>
      <c r="J133" s="195"/>
      <c r="K133" s="195">
        <f t="shared" si="48"/>
        <v>0</v>
      </c>
    </row>
    <row r="134" spans="1:13" x14ac:dyDescent="0.25">
      <c r="A134" s="150"/>
      <c r="B134" s="200" t="s">
        <v>173</v>
      </c>
      <c r="C134" s="98"/>
      <c r="D134" s="195">
        <v>0</v>
      </c>
      <c r="E134" s="195">
        <v>0</v>
      </c>
      <c r="F134" s="195"/>
      <c r="G134" s="195"/>
      <c r="H134" s="195"/>
      <c r="I134" s="196"/>
      <c r="J134" s="195"/>
      <c r="K134" s="195">
        <f t="shared" si="48"/>
        <v>0</v>
      </c>
    </row>
    <row r="135" spans="1:13" x14ac:dyDescent="0.25">
      <c r="A135" s="150"/>
      <c r="B135" s="200" t="s">
        <v>174</v>
      </c>
      <c r="C135" s="98"/>
      <c r="D135" s="195">
        <v>0</v>
      </c>
      <c r="E135" s="195">
        <v>0</v>
      </c>
      <c r="F135" s="195"/>
      <c r="G135" s="195"/>
      <c r="H135" s="195"/>
      <c r="I135" s="196"/>
      <c r="J135" s="195"/>
      <c r="K135" s="195">
        <f t="shared" si="48"/>
        <v>0</v>
      </c>
    </row>
    <row r="136" spans="1:13" x14ac:dyDescent="0.25">
      <c r="A136" s="150"/>
      <c r="B136" s="200" t="s">
        <v>175</v>
      </c>
      <c r="C136" s="98"/>
      <c r="D136" s="195">
        <v>0</v>
      </c>
      <c r="E136" s="195">
        <v>0</v>
      </c>
      <c r="F136" s="195"/>
      <c r="G136" s="195"/>
      <c r="H136" s="201"/>
      <c r="I136" s="196"/>
      <c r="J136" s="195"/>
      <c r="K136" s="195">
        <f t="shared" si="48"/>
        <v>0</v>
      </c>
      <c r="L136" s="5">
        <f>77000+7700</f>
        <v>84700</v>
      </c>
    </row>
    <row r="137" spans="1:13" x14ac:dyDescent="0.25">
      <c r="A137" s="150"/>
      <c r="B137" s="200" t="s">
        <v>176</v>
      </c>
      <c r="C137" s="98"/>
      <c r="D137" s="195">
        <v>360</v>
      </c>
      <c r="E137" s="195">
        <f>897+300</f>
        <v>1197</v>
      </c>
      <c r="F137" s="195">
        <v>397</v>
      </c>
      <c r="G137" s="195">
        <v>397</v>
      </c>
      <c r="H137" s="195">
        <v>397</v>
      </c>
      <c r="I137" s="196"/>
      <c r="J137" s="195"/>
      <c r="K137" s="195">
        <f t="shared" si="48"/>
        <v>1197</v>
      </c>
      <c r="L137" s="5">
        <f>L136*0.1</f>
        <v>8470</v>
      </c>
    </row>
    <row r="138" spans="1:13" x14ac:dyDescent="0.25">
      <c r="A138" s="150"/>
      <c r="B138" s="200" t="s">
        <v>177</v>
      </c>
      <c r="C138" s="98"/>
      <c r="D138" s="195">
        <v>69614</v>
      </c>
      <c r="E138" s="1021">
        <f>90000-14520</f>
        <v>75480</v>
      </c>
      <c r="F138" s="1007">
        <f>90000+77000</f>
        <v>167000</v>
      </c>
      <c r="G138" s="1007">
        <f>90000+84700</f>
        <v>174700</v>
      </c>
      <c r="H138" s="1007">
        <f>90000+93170</f>
        <v>183170</v>
      </c>
      <c r="I138" s="1001"/>
      <c r="J138" s="1021"/>
      <c r="K138" s="1021">
        <f t="shared" si="48"/>
        <v>75480</v>
      </c>
    </row>
    <row r="139" spans="1:13" x14ac:dyDescent="0.25">
      <c r="A139" s="150"/>
      <c r="B139" s="200" t="s">
        <v>178</v>
      </c>
      <c r="C139" s="98"/>
      <c r="D139" s="195"/>
      <c r="E139" s="195"/>
      <c r="F139" s="195"/>
      <c r="G139" s="195"/>
      <c r="H139" s="195"/>
      <c r="I139" s="196"/>
      <c r="J139" s="195"/>
      <c r="K139" s="195">
        <f t="shared" si="48"/>
        <v>0</v>
      </c>
    </row>
    <row r="140" spans="1:13" x14ac:dyDescent="0.25">
      <c r="A140" s="150"/>
      <c r="B140" s="200" t="s">
        <v>179</v>
      </c>
      <c r="C140" s="98"/>
      <c r="D140" s="195"/>
      <c r="E140" s="195">
        <v>0</v>
      </c>
      <c r="F140" s="195">
        <f>82200-77000</f>
        <v>5200</v>
      </c>
      <c r="G140" s="202">
        <v>5200</v>
      </c>
      <c r="H140" s="195">
        <v>5200</v>
      </c>
      <c r="I140" s="196"/>
      <c r="J140" s="195"/>
      <c r="K140" s="195">
        <f t="shared" si="48"/>
        <v>0</v>
      </c>
      <c r="L140" s="101"/>
      <c r="M140" s="101"/>
    </row>
    <row r="141" spans="1:13" x14ac:dyDescent="0.25">
      <c r="A141" s="150"/>
      <c r="B141" s="1008"/>
      <c r="C141" s="98"/>
      <c r="D141" s="104"/>
      <c r="E141" s="104"/>
      <c r="F141" s="104"/>
      <c r="G141" s="104"/>
      <c r="H141" s="104"/>
      <c r="I141" s="105"/>
      <c r="J141" s="104"/>
      <c r="K141" s="104">
        <f t="shared" si="48"/>
        <v>0</v>
      </c>
    </row>
    <row r="142" spans="1:13" s="193" customFormat="1" ht="15" x14ac:dyDescent="0.25">
      <c r="A142" s="189" t="s">
        <v>22</v>
      </c>
      <c r="B142" s="190" t="s">
        <v>180</v>
      </c>
      <c r="C142" s="191"/>
      <c r="D142" s="192">
        <f>SUM(D143:D144)</f>
        <v>3383959</v>
      </c>
      <c r="E142" s="192">
        <f>SUM(E143:E144)</f>
        <v>3405649</v>
      </c>
      <c r="F142" s="192">
        <f t="shared" ref="F142:K142" si="56">SUM(F143:F144)</f>
        <v>3203428</v>
      </c>
      <c r="G142" s="192">
        <f t="shared" si="56"/>
        <v>3238766</v>
      </c>
      <c r="H142" s="192">
        <f t="shared" si="56"/>
        <v>3274441</v>
      </c>
      <c r="I142" s="192">
        <f t="shared" si="56"/>
        <v>0</v>
      </c>
      <c r="J142" s="192">
        <f t="shared" si="56"/>
        <v>0</v>
      </c>
      <c r="K142" s="192">
        <f t="shared" si="56"/>
        <v>3405649</v>
      </c>
    </row>
    <row r="143" spans="1:13" s="193" customFormat="1" ht="15" x14ac:dyDescent="0.25">
      <c r="A143" s="189" t="s">
        <v>181</v>
      </c>
      <c r="B143" s="194" t="s">
        <v>150</v>
      </c>
      <c r="C143" s="191" t="s">
        <v>182</v>
      </c>
      <c r="D143" s="192">
        <f>SUM(D150:D150,D151,D152,D153,D154,D155,D156,D157,D145)</f>
        <v>3383959</v>
      </c>
      <c r="E143" s="192">
        <f>SUM(E150:E150,E151,E152,E153,E154,E155,E156,E157,E145)</f>
        <v>3405649</v>
      </c>
      <c r="F143" s="192">
        <f t="shared" ref="F143:K143" si="57">SUM(F150:F150,F151,F152,F153,F154,F155,F156,F157,F145)</f>
        <v>3203428</v>
      </c>
      <c r="G143" s="192">
        <f t="shared" si="57"/>
        <v>3238766</v>
      </c>
      <c r="H143" s="192">
        <f t="shared" si="57"/>
        <v>3274441</v>
      </c>
      <c r="I143" s="192">
        <f t="shared" si="57"/>
        <v>0</v>
      </c>
      <c r="J143" s="192">
        <f t="shared" si="57"/>
        <v>0</v>
      </c>
      <c r="K143" s="192">
        <f t="shared" si="57"/>
        <v>3405649</v>
      </c>
    </row>
    <row r="144" spans="1:13" s="193" customFormat="1" ht="15" x14ac:dyDescent="0.25">
      <c r="A144" s="189" t="s">
        <v>183</v>
      </c>
      <c r="B144" s="194" t="s">
        <v>153</v>
      </c>
      <c r="C144" s="191" t="s">
        <v>184</v>
      </c>
      <c r="D144" s="192">
        <f>SUM(D149)</f>
        <v>0</v>
      </c>
      <c r="E144" s="192">
        <f>SUM(E149)</f>
        <v>0</v>
      </c>
      <c r="F144" s="192">
        <f t="shared" ref="F144:K144" si="58">SUM(F149)</f>
        <v>0</v>
      </c>
      <c r="G144" s="192">
        <f t="shared" si="58"/>
        <v>0</v>
      </c>
      <c r="H144" s="192">
        <f t="shared" si="58"/>
        <v>0</v>
      </c>
      <c r="I144" s="192">
        <f t="shared" si="58"/>
        <v>0</v>
      </c>
      <c r="J144" s="192">
        <f t="shared" si="58"/>
        <v>0</v>
      </c>
      <c r="K144" s="192">
        <f t="shared" si="58"/>
        <v>0</v>
      </c>
    </row>
    <row r="145" spans="1:11" s="193" customFormat="1" ht="15" x14ac:dyDescent="0.25">
      <c r="A145" s="189"/>
      <c r="B145" s="203" t="s">
        <v>185</v>
      </c>
      <c r="C145" s="191" t="s">
        <v>182</v>
      </c>
      <c r="D145" s="192">
        <f>SUM(D146:D148)</f>
        <v>74676</v>
      </c>
      <c r="E145" s="192">
        <f>SUM(E146:E148)</f>
        <v>84294</v>
      </c>
      <c r="F145" s="192">
        <f t="shared" ref="F145:K145" si="59">SUM(F146:F148)</f>
        <v>89318</v>
      </c>
      <c r="G145" s="192">
        <f t="shared" si="59"/>
        <v>94656</v>
      </c>
      <c r="H145" s="192">
        <f t="shared" si="59"/>
        <v>100331</v>
      </c>
      <c r="I145" s="192">
        <f t="shared" si="59"/>
        <v>0</v>
      </c>
      <c r="J145" s="192">
        <f t="shared" si="59"/>
        <v>0</v>
      </c>
      <c r="K145" s="192">
        <f t="shared" si="59"/>
        <v>84294</v>
      </c>
    </row>
    <row r="146" spans="1:11" s="85" customFormat="1" ht="15" x14ac:dyDescent="0.25">
      <c r="A146" s="102"/>
      <c r="B146" s="200" t="s">
        <v>186</v>
      </c>
      <c r="C146" s="98" t="s">
        <v>182</v>
      </c>
      <c r="D146" s="195">
        <v>50</v>
      </c>
      <c r="E146" s="195">
        <v>50</v>
      </c>
      <c r="F146" s="195">
        <v>50</v>
      </c>
      <c r="G146" s="195">
        <v>50</v>
      </c>
      <c r="H146" s="195">
        <v>50</v>
      </c>
      <c r="I146" s="196"/>
      <c r="J146" s="195"/>
      <c r="K146" s="195">
        <f t="shared" si="48"/>
        <v>50</v>
      </c>
    </row>
    <row r="147" spans="1:11" s="85" customFormat="1" ht="15" x14ac:dyDescent="0.25">
      <c r="A147" s="102"/>
      <c r="B147" s="200" t="s">
        <v>187</v>
      </c>
      <c r="C147" s="98" t="s">
        <v>182</v>
      </c>
      <c r="D147" s="195">
        <v>70847</v>
      </c>
      <c r="E147" s="195">
        <v>79925</v>
      </c>
      <c r="F147" s="195">
        <v>84163</v>
      </c>
      <c r="G147" s="195">
        <v>88625</v>
      </c>
      <c r="H147" s="195">
        <v>93324</v>
      </c>
      <c r="I147" s="196"/>
      <c r="J147" s="195"/>
      <c r="K147" s="195">
        <f t="shared" si="48"/>
        <v>79925</v>
      </c>
    </row>
    <row r="148" spans="1:11" s="85" customFormat="1" ht="15" x14ac:dyDescent="0.25">
      <c r="A148" s="102"/>
      <c r="B148" s="200" t="s">
        <v>188</v>
      </c>
      <c r="C148" s="98" t="s">
        <v>182</v>
      </c>
      <c r="D148" s="195">
        <v>3779</v>
      </c>
      <c r="E148" s="195">
        <v>4319</v>
      </c>
      <c r="F148" s="195">
        <v>5105</v>
      </c>
      <c r="G148" s="195">
        <v>5981</v>
      </c>
      <c r="H148" s="195">
        <v>6957</v>
      </c>
      <c r="I148" s="196"/>
      <c r="J148" s="195"/>
      <c r="K148" s="195">
        <f t="shared" si="48"/>
        <v>4319</v>
      </c>
    </row>
    <row r="149" spans="1:11" s="85" customFormat="1" ht="15" x14ac:dyDescent="0.25">
      <c r="A149" s="102"/>
      <c r="B149" s="170" t="s">
        <v>155</v>
      </c>
      <c r="C149" s="98" t="s">
        <v>184</v>
      </c>
      <c r="D149" s="195"/>
      <c r="E149" s="195"/>
      <c r="F149" s="195"/>
      <c r="G149" s="195"/>
      <c r="H149" s="195"/>
      <c r="I149" s="196"/>
      <c r="J149" s="195"/>
      <c r="K149" s="195">
        <f t="shared" si="48"/>
        <v>0</v>
      </c>
    </row>
    <row r="150" spans="1:11" s="85" customFormat="1" ht="15" x14ac:dyDescent="0.25">
      <c r="A150" s="102"/>
      <c r="B150" s="170" t="s">
        <v>156</v>
      </c>
      <c r="C150" s="98" t="s">
        <v>182</v>
      </c>
      <c r="D150" s="195">
        <v>500</v>
      </c>
      <c r="E150" s="1021">
        <v>145</v>
      </c>
      <c r="F150" s="1022">
        <v>2400</v>
      </c>
      <c r="G150" s="1022">
        <v>2400</v>
      </c>
      <c r="H150" s="1022">
        <v>2400</v>
      </c>
      <c r="I150" s="1001"/>
      <c r="J150" s="1021"/>
      <c r="K150" s="1021">
        <f t="shared" si="48"/>
        <v>145</v>
      </c>
    </row>
    <row r="151" spans="1:11" s="85" customFormat="1" ht="15" x14ac:dyDescent="0.25">
      <c r="A151" s="102"/>
      <c r="B151" s="205" t="s">
        <v>189</v>
      </c>
      <c r="C151" s="98" t="s">
        <v>182</v>
      </c>
      <c r="D151" s="195">
        <v>4200</v>
      </c>
      <c r="E151" s="1007">
        <v>5500</v>
      </c>
      <c r="F151" s="1007">
        <v>5500</v>
      </c>
      <c r="G151" s="1007">
        <v>5500</v>
      </c>
      <c r="H151" s="1007">
        <v>5500</v>
      </c>
      <c r="I151" s="1001"/>
      <c r="J151" s="1007"/>
      <c r="K151" s="1007">
        <f t="shared" si="48"/>
        <v>5500</v>
      </c>
    </row>
    <row r="152" spans="1:11" s="85" customFormat="1" ht="33" customHeight="1" x14ac:dyDescent="0.25">
      <c r="A152" s="102"/>
      <c r="B152" s="205" t="s">
        <v>190</v>
      </c>
      <c r="C152" s="98" t="s">
        <v>182</v>
      </c>
      <c r="D152" s="195">
        <v>6041</v>
      </c>
      <c r="E152" s="1021">
        <v>5500</v>
      </c>
      <c r="F152" s="1007">
        <v>13000</v>
      </c>
      <c r="G152" s="1007">
        <v>13000</v>
      </c>
      <c r="H152" s="1007">
        <v>13000</v>
      </c>
      <c r="I152" s="1001"/>
      <c r="J152" s="1021"/>
      <c r="K152" s="1021">
        <f t="shared" si="48"/>
        <v>5500</v>
      </c>
    </row>
    <row r="153" spans="1:11" s="85" customFormat="1" ht="15" x14ac:dyDescent="0.25">
      <c r="A153" s="102"/>
      <c r="B153" s="170" t="s">
        <v>191</v>
      </c>
      <c r="C153" s="98" t="s">
        <v>182</v>
      </c>
      <c r="D153" s="195">
        <v>3156132</v>
      </c>
      <c r="E153" s="1021">
        <v>3115684</v>
      </c>
      <c r="F153" s="1007">
        <v>2930000</v>
      </c>
      <c r="G153" s="1007">
        <v>2960000</v>
      </c>
      <c r="H153" s="1007">
        <v>2990000</v>
      </c>
      <c r="I153" s="1023"/>
      <c r="J153" s="1021"/>
      <c r="K153" s="1021">
        <f t="shared" si="48"/>
        <v>3115684</v>
      </c>
    </row>
    <row r="154" spans="1:11" s="85" customFormat="1" ht="15" x14ac:dyDescent="0.25">
      <c r="A154" s="102"/>
      <c r="B154" s="170" t="s">
        <v>192</v>
      </c>
      <c r="C154" s="98" t="s">
        <v>182</v>
      </c>
      <c r="D154" s="195">
        <v>10</v>
      </c>
      <c r="E154" s="1007">
        <v>10</v>
      </c>
      <c r="F154" s="1007">
        <v>10</v>
      </c>
      <c r="G154" s="1007">
        <v>10</v>
      </c>
      <c r="H154" s="1007">
        <v>10</v>
      </c>
      <c r="I154" s="1001"/>
      <c r="J154" s="1007"/>
      <c r="K154" s="1007">
        <f t="shared" si="48"/>
        <v>10</v>
      </c>
    </row>
    <row r="155" spans="1:11" s="85" customFormat="1" ht="15" x14ac:dyDescent="0.25">
      <c r="A155" s="102"/>
      <c r="B155" s="170" t="s">
        <v>158</v>
      </c>
      <c r="C155" s="98" t="s">
        <v>182</v>
      </c>
      <c r="D155" s="195">
        <v>2316</v>
      </c>
      <c r="E155" s="195">
        <v>3000</v>
      </c>
      <c r="F155" s="195">
        <v>3000</v>
      </c>
      <c r="G155" s="195">
        <v>3000</v>
      </c>
      <c r="H155" s="195">
        <v>3000</v>
      </c>
      <c r="I155" s="196"/>
      <c r="J155" s="195"/>
      <c r="K155" s="195">
        <f t="shared" si="48"/>
        <v>3000</v>
      </c>
    </row>
    <row r="156" spans="1:11" s="85" customFormat="1" ht="15" x14ac:dyDescent="0.25">
      <c r="A156" s="102"/>
      <c r="B156" s="170" t="s">
        <v>193</v>
      </c>
      <c r="C156" s="98" t="s">
        <v>182</v>
      </c>
      <c r="D156" s="195">
        <v>140000</v>
      </c>
      <c r="E156" s="195">
        <v>191316</v>
      </c>
      <c r="F156" s="195">
        <v>160000</v>
      </c>
      <c r="G156" s="195">
        <v>160000</v>
      </c>
      <c r="H156" s="195">
        <v>160000</v>
      </c>
      <c r="I156" s="196"/>
      <c r="J156" s="195"/>
      <c r="K156" s="195">
        <f t="shared" ref="K156:K219" si="60">E156+J156</f>
        <v>191316</v>
      </c>
    </row>
    <row r="157" spans="1:11" s="193" customFormat="1" ht="30" x14ac:dyDescent="0.25">
      <c r="A157" s="189"/>
      <c r="B157" s="198" t="s">
        <v>194</v>
      </c>
      <c r="C157" s="191" t="s">
        <v>182</v>
      </c>
      <c r="D157" s="188">
        <f>SUM(D158:D168)</f>
        <v>84</v>
      </c>
      <c r="E157" s="188">
        <f>SUM(E158:E168)</f>
        <v>200</v>
      </c>
      <c r="F157" s="188">
        <f t="shared" ref="F157:K157" si="61">SUM(F158:F168)</f>
        <v>200</v>
      </c>
      <c r="G157" s="188">
        <f t="shared" si="61"/>
        <v>200</v>
      </c>
      <c r="H157" s="188">
        <f t="shared" si="61"/>
        <v>200</v>
      </c>
      <c r="I157" s="188">
        <f t="shared" si="61"/>
        <v>0</v>
      </c>
      <c r="J157" s="188">
        <f t="shared" si="61"/>
        <v>0</v>
      </c>
      <c r="K157" s="188">
        <f t="shared" si="61"/>
        <v>200</v>
      </c>
    </row>
    <row r="158" spans="1:11" s="85" customFormat="1" ht="15" x14ac:dyDescent="0.25">
      <c r="A158" s="102"/>
      <c r="B158" s="200" t="s">
        <v>170</v>
      </c>
      <c r="C158" s="98"/>
      <c r="D158" s="195">
        <v>0</v>
      </c>
      <c r="E158" s="195">
        <v>0</v>
      </c>
      <c r="F158" s="195"/>
      <c r="G158" s="195"/>
      <c r="H158" s="201"/>
      <c r="I158" s="196"/>
      <c r="J158" s="195"/>
      <c r="K158" s="195">
        <f t="shared" si="60"/>
        <v>0</v>
      </c>
    </row>
    <row r="159" spans="1:11" s="85" customFormat="1" ht="15" x14ac:dyDescent="0.25">
      <c r="A159" s="102"/>
      <c r="B159" s="200" t="s">
        <v>161</v>
      </c>
      <c r="C159" s="98"/>
      <c r="D159" s="195">
        <v>0</v>
      </c>
      <c r="E159" s="195">
        <v>0</v>
      </c>
      <c r="F159" s="195"/>
      <c r="G159" s="195"/>
      <c r="H159" s="201"/>
      <c r="I159" s="196"/>
      <c r="J159" s="195"/>
      <c r="K159" s="195">
        <f t="shared" si="60"/>
        <v>0</v>
      </c>
    </row>
    <row r="160" spans="1:11" s="85" customFormat="1" ht="15" x14ac:dyDescent="0.25">
      <c r="A160" s="102"/>
      <c r="B160" s="200" t="s">
        <v>168</v>
      </c>
      <c r="C160" s="98"/>
      <c r="D160" s="195">
        <v>0</v>
      </c>
      <c r="E160" s="195">
        <v>0</v>
      </c>
      <c r="F160" s="195"/>
      <c r="G160" s="195"/>
      <c r="H160" s="195"/>
      <c r="I160" s="196"/>
      <c r="J160" s="195"/>
      <c r="K160" s="195">
        <f t="shared" si="60"/>
        <v>0</v>
      </c>
    </row>
    <row r="161" spans="1:11" s="85" customFormat="1" ht="15" x14ac:dyDescent="0.25">
      <c r="A161" s="102"/>
      <c r="B161" s="200" t="s">
        <v>169</v>
      </c>
      <c r="C161" s="98"/>
      <c r="D161" s="195">
        <v>0</v>
      </c>
      <c r="E161" s="195">
        <v>0</v>
      </c>
      <c r="F161" s="195"/>
      <c r="G161" s="195"/>
      <c r="H161" s="201"/>
      <c r="I161" s="196"/>
      <c r="J161" s="195"/>
      <c r="K161" s="195">
        <f t="shared" si="60"/>
        <v>0</v>
      </c>
    </row>
    <row r="162" spans="1:11" s="85" customFormat="1" ht="15" x14ac:dyDescent="0.25">
      <c r="A162" s="102"/>
      <c r="B162" s="200" t="s">
        <v>176</v>
      </c>
      <c r="C162" s="98"/>
      <c r="D162" s="195">
        <v>0</v>
      </c>
      <c r="E162" s="195">
        <v>0</v>
      </c>
      <c r="F162" s="195"/>
      <c r="G162" s="195"/>
      <c r="H162" s="195"/>
      <c r="I162" s="196"/>
      <c r="J162" s="195"/>
      <c r="K162" s="195">
        <f t="shared" si="60"/>
        <v>0</v>
      </c>
    </row>
    <row r="163" spans="1:11" s="85" customFormat="1" ht="15" x14ac:dyDescent="0.25">
      <c r="A163" s="102"/>
      <c r="B163" s="200" t="s">
        <v>195</v>
      </c>
      <c r="C163" s="98"/>
      <c r="D163" s="195">
        <v>0</v>
      </c>
      <c r="E163" s="195">
        <v>0</v>
      </c>
      <c r="F163" s="195"/>
      <c r="G163" s="195"/>
      <c r="H163" s="195"/>
      <c r="I163" s="196"/>
      <c r="J163" s="195"/>
      <c r="K163" s="195">
        <f t="shared" si="60"/>
        <v>0</v>
      </c>
    </row>
    <row r="164" spans="1:11" s="85" customFormat="1" ht="15" x14ac:dyDescent="0.25">
      <c r="A164" s="102"/>
      <c r="B164" s="200" t="s">
        <v>174</v>
      </c>
      <c r="C164" s="98"/>
      <c r="D164" s="195">
        <v>0</v>
      </c>
      <c r="E164" s="195">
        <v>0</v>
      </c>
      <c r="F164" s="195"/>
      <c r="G164" s="195"/>
      <c r="H164" s="195"/>
      <c r="I164" s="196"/>
      <c r="J164" s="195"/>
      <c r="K164" s="195">
        <f t="shared" si="60"/>
        <v>0</v>
      </c>
    </row>
    <row r="165" spans="1:11" s="85" customFormat="1" ht="15" x14ac:dyDescent="0.25">
      <c r="A165" s="102"/>
      <c r="B165" s="200" t="s">
        <v>172</v>
      </c>
      <c r="C165" s="98"/>
      <c r="D165" s="195">
        <v>0</v>
      </c>
      <c r="E165" s="195">
        <v>0</v>
      </c>
      <c r="F165" s="195"/>
      <c r="G165" s="195"/>
      <c r="H165" s="195"/>
      <c r="I165" s="196"/>
      <c r="J165" s="195"/>
      <c r="K165" s="195">
        <f t="shared" si="60"/>
        <v>0</v>
      </c>
    </row>
    <row r="166" spans="1:11" s="85" customFormat="1" ht="15" x14ac:dyDescent="0.25">
      <c r="A166" s="102"/>
      <c r="B166" s="200" t="s">
        <v>178</v>
      </c>
      <c r="C166" s="98"/>
      <c r="D166" s="195">
        <v>0</v>
      </c>
      <c r="E166" s="195">
        <v>0</v>
      </c>
      <c r="F166" s="195"/>
      <c r="G166" s="195"/>
      <c r="H166" s="195"/>
      <c r="I166" s="196"/>
      <c r="J166" s="195"/>
      <c r="K166" s="195">
        <f t="shared" si="60"/>
        <v>0</v>
      </c>
    </row>
    <row r="167" spans="1:11" s="85" customFormat="1" ht="15" x14ac:dyDescent="0.25">
      <c r="A167" s="102"/>
      <c r="B167" s="200" t="s">
        <v>196</v>
      </c>
      <c r="C167" s="98"/>
      <c r="D167" s="195">
        <v>84</v>
      </c>
      <c r="E167" s="195">
        <v>200</v>
      </c>
      <c r="F167" s="195">
        <v>200</v>
      </c>
      <c r="G167" s="195">
        <v>200</v>
      </c>
      <c r="H167" s="195">
        <v>200</v>
      </c>
      <c r="I167" s="196"/>
      <c r="J167" s="195"/>
      <c r="K167" s="195">
        <f t="shared" si="60"/>
        <v>200</v>
      </c>
    </row>
    <row r="168" spans="1:11" s="85" customFormat="1" ht="15" x14ac:dyDescent="0.25">
      <c r="A168" s="102"/>
      <c r="B168" s="200" t="s">
        <v>197</v>
      </c>
      <c r="C168" s="98"/>
      <c r="D168" s="195">
        <v>0</v>
      </c>
      <c r="E168" s="195">
        <v>0</v>
      </c>
      <c r="F168" s="195"/>
      <c r="G168" s="195"/>
      <c r="H168" s="195"/>
      <c r="I168" s="196"/>
      <c r="J168" s="195"/>
      <c r="K168" s="195">
        <f t="shared" si="60"/>
        <v>0</v>
      </c>
    </row>
    <row r="169" spans="1:11" s="85" customFormat="1" ht="15" x14ac:dyDescent="0.25">
      <c r="A169" s="102"/>
      <c r="B169" s="200" t="s">
        <v>198</v>
      </c>
      <c r="C169" s="98"/>
      <c r="D169" s="195">
        <v>0</v>
      </c>
      <c r="E169" s="195">
        <v>0</v>
      </c>
      <c r="F169" s="195"/>
      <c r="G169" s="195"/>
      <c r="H169" s="195"/>
      <c r="I169" s="196"/>
      <c r="J169" s="195"/>
      <c r="K169" s="195">
        <f t="shared" si="60"/>
        <v>0</v>
      </c>
    </row>
    <row r="170" spans="1:11" s="85" customFormat="1" ht="15" x14ac:dyDescent="0.25">
      <c r="A170" s="102"/>
      <c r="B170" s="208" t="s">
        <v>199</v>
      </c>
      <c r="C170" s="98"/>
      <c r="D170" s="195">
        <v>0</v>
      </c>
      <c r="E170" s="195">
        <v>0</v>
      </c>
      <c r="F170" s="195"/>
      <c r="G170" s="195"/>
      <c r="H170" s="195"/>
      <c r="I170" s="196"/>
      <c r="J170" s="195"/>
      <c r="K170" s="195">
        <f t="shared" si="60"/>
        <v>0</v>
      </c>
    </row>
    <row r="171" spans="1:11" s="85" customFormat="1" ht="15" x14ac:dyDescent="0.25">
      <c r="A171" s="102"/>
      <c r="B171" s="200"/>
      <c r="C171" s="98"/>
      <c r="D171" s="104">
        <v>0</v>
      </c>
      <c r="E171" s="104">
        <v>0</v>
      </c>
      <c r="F171" s="104"/>
      <c r="G171" s="104"/>
      <c r="H171" s="104"/>
      <c r="I171" s="105"/>
      <c r="J171" s="104"/>
      <c r="K171" s="104">
        <f t="shared" si="60"/>
        <v>0</v>
      </c>
    </row>
    <row r="172" spans="1:11" s="136" customFormat="1" x14ac:dyDescent="0.25">
      <c r="A172" s="109" t="s">
        <v>23</v>
      </c>
      <c r="B172" s="132" t="s">
        <v>200</v>
      </c>
      <c r="C172" s="111" t="s">
        <v>87</v>
      </c>
      <c r="D172" s="134">
        <f>SUM(D173,D188)</f>
        <v>4563</v>
      </c>
      <c r="E172" s="134">
        <f>SUM(E173,E188)</f>
        <v>5161</v>
      </c>
      <c r="F172" s="134">
        <f t="shared" ref="F172:K172" si="62">SUM(F173,F188)</f>
        <v>5252</v>
      </c>
      <c r="G172" s="134">
        <f t="shared" si="62"/>
        <v>5345</v>
      </c>
      <c r="H172" s="134">
        <f t="shared" si="62"/>
        <v>5441</v>
      </c>
      <c r="I172" s="134">
        <f t="shared" si="62"/>
        <v>0</v>
      </c>
      <c r="J172" s="134">
        <f t="shared" si="62"/>
        <v>0</v>
      </c>
      <c r="K172" s="134">
        <f t="shared" si="62"/>
        <v>5161</v>
      </c>
    </row>
    <row r="173" spans="1:11" s="136" customFormat="1" x14ac:dyDescent="0.25">
      <c r="A173" s="189" t="s">
        <v>25</v>
      </c>
      <c r="B173" s="194" t="s">
        <v>201</v>
      </c>
      <c r="C173" s="191" t="s">
        <v>202</v>
      </c>
      <c r="D173" s="192">
        <f>SUM(D174:D175,D186)</f>
        <v>987</v>
      </c>
      <c r="E173" s="192">
        <f>SUM(E174:E175,E186)</f>
        <v>1500</v>
      </c>
      <c r="F173" s="192">
        <f t="shared" ref="F173:K173" si="63">SUM(F174:F175,F186)</f>
        <v>1500</v>
      </c>
      <c r="G173" s="192">
        <f t="shared" si="63"/>
        <v>1500</v>
      </c>
      <c r="H173" s="192">
        <f t="shared" si="63"/>
        <v>1500</v>
      </c>
      <c r="I173" s="192">
        <f t="shared" si="63"/>
        <v>0</v>
      </c>
      <c r="J173" s="192">
        <f t="shared" si="63"/>
        <v>0</v>
      </c>
      <c r="K173" s="192">
        <f t="shared" si="63"/>
        <v>1500</v>
      </c>
    </row>
    <row r="174" spans="1:11" s="212" customFormat="1" ht="45" x14ac:dyDescent="0.25">
      <c r="A174" s="209"/>
      <c r="B174" s="205" t="s">
        <v>203</v>
      </c>
      <c r="C174" s="210" t="s">
        <v>202</v>
      </c>
      <c r="D174" s="1009">
        <v>950</v>
      </c>
      <c r="E174" s="1009">
        <v>1500</v>
      </c>
      <c r="F174" s="1009">
        <v>1500</v>
      </c>
      <c r="G174" s="1009">
        <v>1500</v>
      </c>
      <c r="H174" s="1009">
        <v>1500</v>
      </c>
      <c r="I174" s="211"/>
      <c r="J174" s="1009"/>
      <c r="K174" s="1009">
        <f t="shared" si="60"/>
        <v>1500</v>
      </c>
    </row>
    <row r="175" spans="1:11" s="199" customFormat="1" ht="30" x14ac:dyDescent="0.25">
      <c r="A175" s="110"/>
      <c r="B175" s="213" t="s">
        <v>194</v>
      </c>
      <c r="C175" s="191" t="s">
        <v>202</v>
      </c>
      <c r="D175" s="192">
        <f>SUM(D176:D184)</f>
        <v>37</v>
      </c>
      <c r="E175" s="192">
        <f>SUM(E176:E184)</f>
        <v>0</v>
      </c>
      <c r="F175" s="192">
        <f t="shared" ref="F175:K175" si="64">SUM(F176:F184)</f>
        <v>0</v>
      </c>
      <c r="G175" s="192">
        <f t="shared" si="64"/>
        <v>0</v>
      </c>
      <c r="H175" s="192">
        <f t="shared" si="64"/>
        <v>0</v>
      </c>
      <c r="I175" s="192">
        <f t="shared" si="64"/>
        <v>0</v>
      </c>
      <c r="J175" s="192">
        <f t="shared" si="64"/>
        <v>0</v>
      </c>
      <c r="K175" s="192">
        <f t="shared" si="64"/>
        <v>0</v>
      </c>
    </row>
    <row r="176" spans="1:11" x14ac:dyDescent="0.25">
      <c r="A176" s="150"/>
      <c r="B176" s="200" t="s">
        <v>166</v>
      </c>
      <c r="C176" s="98"/>
      <c r="D176" s="195">
        <v>0</v>
      </c>
      <c r="E176" s="195">
        <v>0</v>
      </c>
      <c r="F176" s="195">
        <v>0</v>
      </c>
      <c r="G176" s="195">
        <v>0</v>
      </c>
      <c r="H176" s="195">
        <v>0</v>
      </c>
      <c r="I176" s="196"/>
      <c r="J176" s="195"/>
      <c r="K176" s="195">
        <f t="shared" si="60"/>
        <v>0</v>
      </c>
    </row>
    <row r="177" spans="1:11" x14ac:dyDescent="0.25">
      <c r="A177" s="150"/>
      <c r="B177" s="200" t="s">
        <v>164</v>
      </c>
      <c r="C177" s="98"/>
      <c r="D177" s="195">
        <v>0</v>
      </c>
      <c r="E177" s="195">
        <v>0</v>
      </c>
      <c r="F177" s="195">
        <v>0</v>
      </c>
      <c r="G177" s="195">
        <v>0</v>
      </c>
      <c r="H177" s="195">
        <v>0</v>
      </c>
      <c r="I177" s="196"/>
      <c r="J177" s="195"/>
      <c r="K177" s="195">
        <f t="shared" si="60"/>
        <v>0</v>
      </c>
    </row>
    <row r="178" spans="1:11" x14ac:dyDescent="0.25">
      <c r="A178" s="150"/>
      <c r="B178" s="200" t="s">
        <v>165</v>
      </c>
      <c r="C178" s="98"/>
      <c r="D178" s="195">
        <v>0</v>
      </c>
      <c r="E178" s="195">
        <v>0</v>
      </c>
      <c r="F178" s="195">
        <v>0</v>
      </c>
      <c r="G178" s="195">
        <v>0</v>
      </c>
      <c r="H178" s="195">
        <v>0</v>
      </c>
      <c r="I178" s="196"/>
      <c r="J178" s="195"/>
      <c r="K178" s="195">
        <f t="shared" si="60"/>
        <v>0</v>
      </c>
    </row>
    <row r="179" spans="1:11" x14ac:dyDescent="0.25">
      <c r="A179" s="150"/>
      <c r="B179" s="200" t="s">
        <v>204</v>
      </c>
      <c r="C179" s="98"/>
      <c r="D179" s="195">
        <v>7</v>
      </c>
      <c r="E179" s="195">
        <v>0</v>
      </c>
      <c r="F179" s="195">
        <v>0</v>
      </c>
      <c r="G179" s="195">
        <v>0</v>
      </c>
      <c r="H179" s="195">
        <v>0</v>
      </c>
      <c r="I179" s="196"/>
      <c r="J179" s="195"/>
      <c r="K179" s="195">
        <f t="shared" si="60"/>
        <v>0</v>
      </c>
    </row>
    <row r="180" spans="1:11" x14ac:dyDescent="0.25">
      <c r="A180" s="150"/>
      <c r="B180" s="200" t="s">
        <v>167</v>
      </c>
      <c r="C180" s="98"/>
      <c r="D180" s="195">
        <v>0</v>
      </c>
      <c r="E180" s="195">
        <v>0</v>
      </c>
      <c r="F180" s="195">
        <v>0</v>
      </c>
      <c r="G180" s="195">
        <v>0</v>
      </c>
      <c r="H180" s="195">
        <v>0</v>
      </c>
      <c r="I180" s="196"/>
      <c r="J180" s="195"/>
      <c r="K180" s="195">
        <f t="shared" si="60"/>
        <v>0</v>
      </c>
    </row>
    <row r="181" spans="1:11" x14ac:dyDescent="0.25">
      <c r="A181" s="150"/>
      <c r="B181" s="200" t="s">
        <v>176</v>
      </c>
      <c r="C181" s="98"/>
      <c r="D181" s="195">
        <v>30</v>
      </c>
      <c r="E181" s="195">
        <v>0</v>
      </c>
      <c r="F181" s="195">
        <v>0</v>
      </c>
      <c r="G181" s="195">
        <v>0</v>
      </c>
      <c r="H181" s="195">
        <v>0</v>
      </c>
      <c r="I181" s="196"/>
      <c r="J181" s="195"/>
      <c r="K181" s="195">
        <f t="shared" si="60"/>
        <v>0</v>
      </c>
    </row>
    <row r="182" spans="1:11" x14ac:dyDescent="0.25">
      <c r="A182" s="150"/>
      <c r="B182" s="200" t="s">
        <v>171</v>
      </c>
      <c r="C182" s="98"/>
      <c r="D182" s="195">
        <v>0</v>
      </c>
      <c r="E182" s="195">
        <v>0</v>
      </c>
      <c r="F182" s="195">
        <v>0</v>
      </c>
      <c r="G182" s="195">
        <v>0</v>
      </c>
      <c r="H182" s="195">
        <v>0</v>
      </c>
      <c r="I182" s="196"/>
      <c r="J182" s="195"/>
      <c r="K182" s="195">
        <f t="shared" si="60"/>
        <v>0</v>
      </c>
    </row>
    <row r="183" spans="1:11" x14ac:dyDescent="0.25">
      <c r="A183" s="150"/>
      <c r="B183" s="200" t="s">
        <v>205</v>
      </c>
      <c r="C183" s="98"/>
      <c r="D183" s="195">
        <v>0</v>
      </c>
      <c r="E183" s="195">
        <v>0</v>
      </c>
      <c r="F183" s="195">
        <v>0</v>
      </c>
      <c r="G183" s="195">
        <v>0</v>
      </c>
      <c r="H183" s="195">
        <v>0</v>
      </c>
      <c r="I183" s="196"/>
      <c r="J183" s="195"/>
      <c r="K183" s="195">
        <f t="shared" si="60"/>
        <v>0</v>
      </c>
    </row>
    <row r="184" spans="1:11" x14ac:dyDescent="0.25">
      <c r="A184" s="150"/>
      <c r="B184" s="200" t="s">
        <v>206</v>
      </c>
      <c r="C184" s="98"/>
      <c r="D184" s="195">
        <v>0</v>
      </c>
      <c r="E184" s="195">
        <v>0</v>
      </c>
      <c r="F184" s="195">
        <v>0</v>
      </c>
      <c r="G184" s="195">
        <v>0</v>
      </c>
      <c r="H184" s="195">
        <v>0</v>
      </c>
      <c r="I184" s="196"/>
      <c r="J184" s="195"/>
      <c r="K184" s="195">
        <f t="shared" si="60"/>
        <v>0</v>
      </c>
    </row>
    <row r="185" spans="1:11" x14ac:dyDescent="0.25">
      <c r="A185" s="150"/>
      <c r="B185" s="200" t="s">
        <v>198</v>
      </c>
      <c r="C185" s="98"/>
      <c r="D185" s="195">
        <v>0</v>
      </c>
      <c r="E185" s="195">
        <v>0</v>
      </c>
      <c r="F185" s="195">
        <v>0</v>
      </c>
      <c r="G185" s="195">
        <v>0</v>
      </c>
      <c r="H185" s="195">
        <v>0</v>
      </c>
      <c r="I185" s="196"/>
      <c r="J185" s="195"/>
      <c r="K185" s="195">
        <f t="shared" si="60"/>
        <v>0</v>
      </c>
    </row>
    <row r="186" spans="1:11" x14ac:dyDescent="0.25">
      <c r="A186" s="150"/>
      <c r="B186" s="214" t="s">
        <v>207</v>
      </c>
      <c r="C186" s="98"/>
      <c r="D186" s="195">
        <v>0</v>
      </c>
      <c r="E186" s="195">
        <v>0</v>
      </c>
      <c r="F186" s="195">
        <v>0</v>
      </c>
      <c r="G186" s="195">
        <v>0</v>
      </c>
      <c r="H186" s="195">
        <v>0</v>
      </c>
      <c r="I186" s="196"/>
      <c r="J186" s="195"/>
      <c r="K186" s="195">
        <f t="shared" si="60"/>
        <v>0</v>
      </c>
    </row>
    <row r="187" spans="1:11" x14ac:dyDescent="0.25">
      <c r="A187" s="150"/>
      <c r="B187" s="214"/>
      <c r="C187" s="98"/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5"/>
      <c r="J187" s="104"/>
      <c r="K187" s="104">
        <f t="shared" si="60"/>
        <v>0</v>
      </c>
    </row>
    <row r="188" spans="1:11" s="136" customFormat="1" x14ac:dyDescent="0.25">
      <c r="A188" s="189" t="s">
        <v>208</v>
      </c>
      <c r="B188" s="194" t="s">
        <v>209</v>
      </c>
      <c r="C188" s="191" t="s">
        <v>210</v>
      </c>
      <c r="D188" s="215">
        <f t="shared" ref="D188:K188" si="65">SUM(D189:D189)</f>
        <v>3576</v>
      </c>
      <c r="E188" s="215">
        <f t="shared" si="65"/>
        <v>3661</v>
      </c>
      <c r="F188" s="215">
        <f t="shared" si="65"/>
        <v>3752</v>
      </c>
      <c r="G188" s="215">
        <f t="shared" si="65"/>
        <v>3845</v>
      </c>
      <c r="H188" s="215">
        <f t="shared" si="65"/>
        <v>3941</v>
      </c>
      <c r="I188" s="215">
        <f t="shared" si="65"/>
        <v>0</v>
      </c>
      <c r="J188" s="215">
        <f t="shared" si="65"/>
        <v>0</v>
      </c>
      <c r="K188" s="215">
        <f t="shared" si="65"/>
        <v>3661</v>
      </c>
    </row>
    <row r="189" spans="1:11" s="144" customFormat="1" x14ac:dyDescent="0.25">
      <c r="A189" s="137"/>
      <c r="B189" s="214" t="s">
        <v>211</v>
      </c>
      <c r="C189" s="98" t="s">
        <v>210</v>
      </c>
      <c r="D189" s="195">
        <v>3576</v>
      </c>
      <c r="E189" s="195">
        <v>3661</v>
      </c>
      <c r="F189" s="195">
        <v>3752</v>
      </c>
      <c r="G189" s="195">
        <v>3845</v>
      </c>
      <c r="H189" s="195">
        <v>3941</v>
      </c>
      <c r="I189" s="196"/>
      <c r="J189" s="195"/>
      <c r="K189" s="195">
        <f t="shared" si="60"/>
        <v>3661</v>
      </c>
    </row>
    <row r="190" spans="1:11" x14ac:dyDescent="0.25">
      <c r="A190" s="150"/>
      <c r="B190" s="197"/>
      <c r="C190" s="98"/>
      <c r="D190" s="104"/>
      <c r="E190" s="104"/>
      <c r="F190" s="104"/>
      <c r="G190" s="104"/>
      <c r="H190" s="104"/>
      <c r="I190" s="105"/>
      <c r="J190" s="104"/>
      <c r="K190" s="104">
        <f t="shared" si="60"/>
        <v>0</v>
      </c>
    </row>
    <row r="191" spans="1:11" s="220" customFormat="1" x14ac:dyDescent="0.25">
      <c r="A191" s="216" t="s">
        <v>27</v>
      </c>
      <c r="B191" s="217" t="s">
        <v>212</v>
      </c>
      <c r="C191" s="218" t="s">
        <v>87</v>
      </c>
      <c r="D191" s="219">
        <f>SUM(D192)</f>
        <v>61494</v>
      </c>
      <c r="E191" s="219">
        <f>SUM(E192)</f>
        <v>60990</v>
      </c>
      <c r="F191" s="219">
        <f t="shared" ref="F191:K191" si="66">SUM(F192)</f>
        <v>4409</v>
      </c>
      <c r="G191" s="219">
        <f t="shared" si="66"/>
        <v>0</v>
      </c>
      <c r="H191" s="219">
        <f t="shared" si="66"/>
        <v>0</v>
      </c>
      <c r="I191" s="219">
        <f t="shared" si="66"/>
        <v>0</v>
      </c>
      <c r="J191" s="219">
        <f t="shared" si="66"/>
        <v>0</v>
      </c>
      <c r="K191" s="219">
        <f t="shared" si="66"/>
        <v>60990</v>
      </c>
    </row>
    <row r="192" spans="1:11" s="225" customFormat="1" ht="15" x14ac:dyDescent="0.25">
      <c r="A192" s="221"/>
      <c r="B192" s="222" t="s">
        <v>147</v>
      </c>
      <c r="C192" s="223" t="s">
        <v>87</v>
      </c>
      <c r="D192" s="224">
        <f>SUM(D193:D194)</f>
        <v>61494</v>
      </c>
      <c r="E192" s="224">
        <f>SUM(E193:E194)</f>
        <v>60990</v>
      </c>
      <c r="F192" s="224">
        <f t="shared" ref="F192:K192" si="67">SUM(F193:F194)</f>
        <v>4409</v>
      </c>
      <c r="G192" s="224">
        <f t="shared" si="67"/>
        <v>0</v>
      </c>
      <c r="H192" s="224">
        <f t="shared" si="67"/>
        <v>0</v>
      </c>
      <c r="I192" s="224">
        <f t="shared" si="67"/>
        <v>0</v>
      </c>
      <c r="J192" s="224">
        <f t="shared" si="67"/>
        <v>0</v>
      </c>
      <c r="K192" s="224">
        <f t="shared" si="67"/>
        <v>60990</v>
      </c>
    </row>
    <row r="193" spans="1:19" s="44" customFormat="1" ht="15" x14ac:dyDescent="0.25">
      <c r="A193" s="102"/>
      <c r="B193" s="103" t="s">
        <v>213</v>
      </c>
      <c r="C193" s="98" t="s">
        <v>214</v>
      </c>
      <c r="D193" s="195">
        <v>61494</v>
      </c>
      <c r="E193" s="195">
        <v>60990</v>
      </c>
      <c r="F193" s="195">
        <v>4409</v>
      </c>
      <c r="G193" s="195">
        <v>0</v>
      </c>
      <c r="H193" s="195">
        <v>0</v>
      </c>
      <c r="I193" s="196"/>
      <c r="J193" s="195"/>
      <c r="K193" s="195">
        <f t="shared" si="60"/>
        <v>60990</v>
      </c>
    </row>
    <row r="194" spans="1:19" s="44" customFormat="1" ht="15" x14ac:dyDescent="0.25">
      <c r="A194" s="102"/>
      <c r="B194" s="103" t="s">
        <v>215</v>
      </c>
      <c r="C194" s="98" t="s">
        <v>216</v>
      </c>
      <c r="D194" s="195">
        <v>0</v>
      </c>
      <c r="E194" s="195">
        <v>0</v>
      </c>
      <c r="F194" s="195">
        <v>0</v>
      </c>
      <c r="G194" s="195">
        <v>0</v>
      </c>
      <c r="H194" s="195">
        <v>0</v>
      </c>
      <c r="I194" s="196"/>
      <c r="J194" s="195"/>
      <c r="K194" s="195">
        <f t="shared" si="60"/>
        <v>0</v>
      </c>
    </row>
    <row r="195" spans="1:19" x14ac:dyDescent="0.25">
      <c r="A195" s="150"/>
      <c r="B195" s="208"/>
      <c r="C195" s="98"/>
      <c r="D195" s="104"/>
      <c r="E195" s="104"/>
      <c r="F195" s="104"/>
      <c r="G195" s="104"/>
      <c r="H195" s="104"/>
      <c r="I195" s="105"/>
      <c r="J195" s="104"/>
      <c r="K195" s="104">
        <f t="shared" si="60"/>
        <v>0</v>
      </c>
    </row>
    <row r="196" spans="1:19" s="136" customFormat="1" x14ac:dyDescent="0.25">
      <c r="A196" s="109" t="s">
        <v>29</v>
      </c>
      <c r="B196" s="132" t="s">
        <v>217</v>
      </c>
      <c r="C196" s="111" t="s">
        <v>87</v>
      </c>
      <c r="D196" s="134" t="e">
        <f t="shared" ref="D196:K196" si="68">SUM(D198,D202,D204,D200,D206,D237)</f>
        <v>#REF!</v>
      </c>
      <c r="E196" s="134">
        <f t="shared" si="68"/>
        <v>316989</v>
      </c>
      <c r="F196" s="134">
        <f t="shared" si="68"/>
        <v>296018</v>
      </c>
      <c r="G196" s="134">
        <f t="shared" si="68"/>
        <v>287720</v>
      </c>
      <c r="H196" s="134">
        <f t="shared" si="68"/>
        <v>288765</v>
      </c>
      <c r="I196" s="134" t="e">
        <f t="shared" si="68"/>
        <v>#VALUE!</v>
      </c>
      <c r="J196" s="134">
        <f t="shared" si="68"/>
        <v>0</v>
      </c>
      <c r="K196" s="134">
        <f t="shared" si="68"/>
        <v>316989</v>
      </c>
    </row>
    <row r="197" spans="1:19" s="136" customFormat="1" x14ac:dyDescent="0.25">
      <c r="A197" s="109" t="s">
        <v>93</v>
      </c>
      <c r="B197" s="190" t="s">
        <v>218</v>
      </c>
      <c r="C197" s="133" t="s">
        <v>87</v>
      </c>
      <c r="D197" s="134">
        <f>SUM(D198,D200)</f>
        <v>53482</v>
      </c>
      <c r="E197" s="134">
        <f>SUM(E198,E200)</f>
        <v>53482</v>
      </c>
      <c r="F197" s="134">
        <f t="shared" ref="F197:K197" si="69">SUM(F198,F200)</f>
        <v>53484</v>
      </c>
      <c r="G197" s="134">
        <f t="shared" si="69"/>
        <v>53486</v>
      </c>
      <c r="H197" s="134">
        <f t="shared" si="69"/>
        <v>53488</v>
      </c>
      <c r="I197" s="134">
        <f t="shared" si="69"/>
        <v>53490</v>
      </c>
      <c r="J197" s="134">
        <f t="shared" si="69"/>
        <v>0</v>
      </c>
      <c r="K197" s="134">
        <f t="shared" si="69"/>
        <v>53482</v>
      </c>
    </row>
    <row r="198" spans="1:19" s="199" customFormat="1" hidden="1" x14ac:dyDescent="0.25">
      <c r="A198" s="110" t="s">
        <v>219</v>
      </c>
      <c r="B198" s="190" t="s">
        <v>220</v>
      </c>
      <c r="C198" s="191" t="s">
        <v>87</v>
      </c>
      <c r="D198" s="215">
        <f t="shared" ref="D198:K198" si="70">SUM(D199:D199)</f>
        <v>52282</v>
      </c>
      <c r="E198" s="215">
        <f t="shared" si="70"/>
        <v>52282</v>
      </c>
      <c r="F198" s="215">
        <f t="shared" si="70"/>
        <v>52283</v>
      </c>
      <c r="G198" s="215">
        <f t="shared" si="70"/>
        <v>52284</v>
      </c>
      <c r="H198" s="215">
        <f t="shared" si="70"/>
        <v>52285</v>
      </c>
      <c r="I198" s="215">
        <f t="shared" si="70"/>
        <v>52286</v>
      </c>
      <c r="J198" s="215">
        <f t="shared" si="70"/>
        <v>0</v>
      </c>
      <c r="K198" s="215">
        <f t="shared" si="70"/>
        <v>52282</v>
      </c>
    </row>
    <row r="199" spans="1:19" x14ac:dyDescent="0.25">
      <c r="A199" s="150"/>
      <c r="B199" s="208" t="s">
        <v>366</v>
      </c>
      <c r="C199" s="98" t="s">
        <v>221</v>
      </c>
      <c r="D199" s="104">
        <v>52282</v>
      </c>
      <c r="E199" s="104">
        <v>52282</v>
      </c>
      <c r="F199" s="104">
        <v>52283</v>
      </c>
      <c r="G199" s="104">
        <v>52284</v>
      </c>
      <c r="H199" s="104">
        <v>52285</v>
      </c>
      <c r="I199" s="104">
        <v>52286</v>
      </c>
      <c r="J199" s="104"/>
      <c r="K199" s="104">
        <f t="shared" si="60"/>
        <v>52282</v>
      </c>
    </row>
    <row r="200" spans="1:19" s="199" customFormat="1" hidden="1" x14ac:dyDescent="0.25">
      <c r="A200" s="110" t="s">
        <v>222</v>
      </c>
      <c r="B200" s="1068" t="s">
        <v>223</v>
      </c>
      <c r="C200" s="191" t="s">
        <v>87</v>
      </c>
      <c r="D200" s="192">
        <f>SUM(D201)</f>
        <v>1200</v>
      </c>
      <c r="E200" s="192">
        <f>SUM(E201)</f>
        <v>1200</v>
      </c>
      <c r="F200" s="192">
        <f t="shared" ref="F200:K200" si="71">SUM(F201)</f>
        <v>1201</v>
      </c>
      <c r="G200" s="192">
        <f t="shared" si="71"/>
        <v>1202</v>
      </c>
      <c r="H200" s="192">
        <f t="shared" si="71"/>
        <v>1203</v>
      </c>
      <c r="I200" s="192">
        <f t="shared" si="71"/>
        <v>1204</v>
      </c>
      <c r="J200" s="192">
        <f t="shared" si="71"/>
        <v>0</v>
      </c>
      <c r="K200" s="192">
        <f t="shared" si="71"/>
        <v>1200</v>
      </c>
      <c r="L200" s="226"/>
      <c r="M200" s="226"/>
      <c r="N200" s="226"/>
      <c r="O200" s="226"/>
    </row>
    <row r="201" spans="1:19" x14ac:dyDescent="0.25">
      <c r="A201" s="150"/>
      <c r="B201" s="208" t="s">
        <v>65</v>
      </c>
      <c r="C201" s="98" t="s">
        <v>224</v>
      </c>
      <c r="D201" s="195">
        <v>1200</v>
      </c>
      <c r="E201" s="195">
        <v>1200</v>
      </c>
      <c r="F201" s="195">
        <v>1201</v>
      </c>
      <c r="G201" s="195">
        <v>1202</v>
      </c>
      <c r="H201" s="195">
        <v>1203</v>
      </c>
      <c r="I201" s="195">
        <v>1204</v>
      </c>
      <c r="J201" s="195"/>
      <c r="K201" s="195">
        <f t="shared" si="60"/>
        <v>1200</v>
      </c>
      <c r="L201" s="227"/>
      <c r="M201" s="227"/>
      <c r="N201" s="227"/>
      <c r="O201" s="227"/>
    </row>
    <row r="202" spans="1:19" s="199" customFormat="1" hidden="1" x14ac:dyDescent="0.25">
      <c r="A202" s="110" t="s">
        <v>225</v>
      </c>
      <c r="B202" s="1068" t="s">
        <v>226</v>
      </c>
      <c r="C202" s="191" t="s">
        <v>87</v>
      </c>
      <c r="D202" s="215">
        <f t="shared" ref="D202:K202" si="72">SUM(D203:D203)</f>
        <v>9444</v>
      </c>
      <c r="E202" s="215">
        <f t="shared" si="72"/>
        <v>9392</v>
      </c>
      <c r="F202" s="215">
        <f t="shared" si="72"/>
        <v>9393</v>
      </c>
      <c r="G202" s="215">
        <f t="shared" si="72"/>
        <v>9394</v>
      </c>
      <c r="H202" s="215">
        <f t="shared" si="72"/>
        <v>9395</v>
      </c>
      <c r="I202" s="215">
        <f t="shared" si="72"/>
        <v>9396</v>
      </c>
      <c r="J202" s="215">
        <f t="shared" si="72"/>
        <v>0</v>
      </c>
      <c r="K202" s="215">
        <f t="shared" si="72"/>
        <v>9392</v>
      </c>
      <c r="L202" s="228"/>
      <c r="M202" s="229"/>
      <c r="N202" s="229"/>
      <c r="O202" s="229"/>
    </row>
    <row r="203" spans="1:19" x14ac:dyDescent="0.25">
      <c r="A203" s="150"/>
      <c r="B203" s="208" t="s">
        <v>690</v>
      </c>
      <c r="C203" s="98" t="s">
        <v>227</v>
      </c>
      <c r="D203" s="104">
        <v>9444</v>
      </c>
      <c r="E203" s="104">
        <v>9392</v>
      </c>
      <c r="F203" s="104">
        <v>9393</v>
      </c>
      <c r="G203" s="104">
        <v>9394</v>
      </c>
      <c r="H203" s="104">
        <v>9395</v>
      </c>
      <c r="I203" s="104">
        <v>9396</v>
      </c>
      <c r="J203" s="104"/>
      <c r="K203" s="104">
        <f t="shared" si="60"/>
        <v>9392</v>
      </c>
    </row>
    <row r="204" spans="1:19" s="199" customFormat="1" hidden="1" x14ac:dyDescent="0.25">
      <c r="A204" s="110" t="s">
        <v>228</v>
      </c>
      <c r="B204" s="253" t="s">
        <v>229</v>
      </c>
      <c r="C204" s="191" t="s">
        <v>87</v>
      </c>
      <c r="D204" s="215">
        <f t="shared" ref="D204:K204" si="73">SUM(D205:D205)</f>
        <v>1327</v>
      </c>
      <c r="E204" s="215">
        <f t="shared" si="73"/>
        <v>1311</v>
      </c>
      <c r="F204" s="215">
        <f t="shared" si="73"/>
        <v>1312</v>
      </c>
      <c r="G204" s="215">
        <f t="shared" si="73"/>
        <v>1313</v>
      </c>
      <c r="H204" s="215">
        <f t="shared" si="73"/>
        <v>1314</v>
      </c>
      <c r="I204" s="215">
        <f t="shared" si="73"/>
        <v>1315</v>
      </c>
      <c r="J204" s="215">
        <f t="shared" si="73"/>
        <v>0</v>
      </c>
      <c r="K204" s="215">
        <f t="shared" si="73"/>
        <v>1311</v>
      </c>
      <c r="S204" s="229"/>
    </row>
    <row r="205" spans="1:19" ht="15" customHeight="1" x14ac:dyDescent="0.25">
      <c r="A205" s="150"/>
      <c r="B205" s="208" t="s">
        <v>63</v>
      </c>
      <c r="C205" s="98" t="s">
        <v>230</v>
      </c>
      <c r="D205" s="104">
        <v>1327</v>
      </c>
      <c r="E205" s="104">
        <v>1311</v>
      </c>
      <c r="F205" s="104">
        <v>1312</v>
      </c>
      <c r="G205" s="104">
        <v>1313</v>
      </c>
      <c r="H205" s="104">
        <v>1314</v>
      </c>
      <c r="I205" s="104">
        <v>1315</v>
      </c>
      <c r="J205" s="104"/>
      <c r="K205" s="104">
        <f t="shared" si="60"/>
        <v>1311</v>
      </c>
      <c r="L205" s="230"/>
      <c r="M205" s="230"/>
      <c r="N205" s="230"/>
      <c r="O205" s="230"/>
    </row>
    <row r="206" spans="1:19" s="199" customFormat="1" x14ac:dyDescent="0.25">
      <c r="A206" s="110" t="s">
        <v>231</v>
      </c>
      <c r="B206" s="190" t="s">
        <v>232</v>
      </c>
      <c r="C206" s="191" t="s">
        <v>87</v>
      </c>
      <c r="D206" s="192" t="e">
        <f t="shared" ref="D206:K206" si="74">SUM(D207:D207)</f>
        <v>#REF!</v>
      </c>
      <c r="E206" s="192">
        <f t="shared" si="74"/>
        <v>77804</v>
      </c>
      <c r="F206" s="192">
        <f t="shared" si="74"/>
        <v>56829</v>
      </c>
      <c r="G206" s="192">
        <f t="shared" si="74"/>
        <v>58527</v>
      </c>
      <c r="H206" s="192">
        <f t="shared" si="74"/>
        <v>59568</v>
      </c>
      <c r="I206" s="192" t="e">
        <f t="shared" si="74"/>
        <v>#VALUE!</v>
      </c>
      <c r="J206" s="192">
        <f t="shared" si="74"/>
        <v>0</v>
      </c>
      <c r="K206" s="192">
        <f t="shared" si="74"/>
        <v>77804</v>
      </c>
    </row>
    <row r="207" spans="1:19" s="199" customFormat="1" x14ac:dyDescent="0.25">
      <c r="A207" s="110"/>
      <c r="B207" s="231" t="s">
        <v>150</v>
      </c>
      <c r="C207" s="191" t="s">
        <v>87</v>
      </c>
      <c r="D207" s="192" t="e">
        <f>SUM(D209,D220)</f>
        <v>#REF!</v>
      </c>
      <c r="E207" s="192">
        <f>SUM(E209,E220)</f>
        <v>77804</v>
      </c>
      <c r="F207" s="192">
        <f t="shared" ref="F207:K207" si="75">SUM(F209,F220)</f>
        <v>56829</v>
      </c>
      <c r="G207" s="192">
        <f t="shared" si="75"/>
        <v>58527</v>
      </c>
      <c r="H207" s="192">
        <f t="shared" si="75"/>
        <v>59568</v>
      </c>
      <c r="I207" s="192" t="e">
        <f t="shared" si="75"/>
        <v>#VALUE!</v>
      </c>
      <c r="J207" s="192">
        <f t="shared" si="75"/>
        <v>0</v>
      </c>
      <c r="K207" s="192">
        <f t="shared" si="75"/>
        <v>77804</v>
      </c>
      <c r="L207" s="228"/>
      <c r="M207" s="228"/>
      <c r="N207" s="229"/>
      <c r="O207" s="229"/>
    </row>
    <row r="208" spans="1:19" x14ac:dyDescent="0.25">
      <c r="A208" s="150"/>
      <c r="B208" s="138" t="s">
        <v>88</v>
      </c>
      <c r="C208" s="98"/>
      <c r="D208" s="195"/>
      <c r="E208" s="195"/>
      <c r="F208" s="195"/>
      <c r="G208" s="195"/>
      <c r="H208" s="195"/>
      <c r="I208" s="196"/>
      <c r="J208" s="195"/>
      <c r="K208" s="195">
        <f t="shared" si="60"/>
        <v>0</v>
      </c>
    </row>
    <row r="209" spans="1:17" s="199" customFormat="1" x14ac:dyDescent="0.25">
      <c r="A209" s="110" t="s">
        <v>233</v>
      </c>
      <c r="B209" s="190" t="s">
        <v>234</v>
      </c>
      <c r="C209" s="191" t="s">
        <v>235</v>
      </c>
      <c r="D209" s="192">
        <f>SUM(D210:D219)</f>
        <v>45755</v>
      </c>
      <c r="E209" s="192">
        <f>SUM(E210:E219)</f>
        <v>46846</v>
      </c>
      <c r="F209" s="192">
        <f t="shared" ref="F209:K209" si="76">SUM(F210:F219)</f>
        <v>48006</v>
      </c>
      <c r="G209" s="192">
        <f t="shared" si="76"/>
        <v>49091</v>
      </c>
      <c r="H209" s="192">
        <f t="shared" si="76"/>
        <v>50302</v>
      </c>
      <c r="I209" s="192">
        <f t="shared" si="76"/>
        <v>0</v>
      </c>
      <c r="J209" s="192">
        <f t="shared" si="76"/>
        <v>0</v>
      </c>
      <c r="K209" s="192">
        <f t="shared" si="76"/>
        <v>46846</v>
      </c>
    </row>
    <row r="210" spans="1:17" x14ac:dyDescent="0.25">
      <c r="A210" s="150"/>
      <c r="B210" s="208" t="s">
        <v>236</v>
      </c>
      <c r="C210" s="98" t="s">
        <v>237</v>
      </c>
      <c r="D210" s="104">
        <v>2954</v>
      </c>
      <c r="E210" s="104">
        <v>3020</v>
      </c>
      <c r="F210" s="104">
        <v>3087</v>
      </c>
      <c r="G210" s="104">
        <v>3091</v>
      </c>
      <c r="H210" s="104">
        <v>3165</v>
      </c>
      <c r="I210" s="105"/>
      <c r="J210" s="104"/>
      <c r="K210" s="104">
        <f t="shared" si="60"/>
        <v>3020</v>
      </c>
    </row>
    <row r="211" spans="1:17" x14ac:dyDescent="0.25">
      <c r="A211" s="150"/>
      <c r="B211" s="208" t="s">
        <v>238</v>
      </c>
      <c r="C211" s="98" t="s">
        <v>239</v>
      </c>
      <c r="D211" s="104">
        <v>1414</v>
      </c>
      <c r="E211" s="104">
        <v>1450</v>
      </c>
      <c r="F211" s="104">
        <v>1480</v>
      </c>
      <c r="G211" s="104">
        <v>1475</v>
      </c>
      <c r="H211" s="104">
        <v>1508</v>
      </c>
      <c r="I211" s="105"/>
      <c r="J211" s="104"/>
      <c r="K211" s="104">
        <f t="shared" si="60"/>
        <v>1450</v>
      </c>
      <c r="M211" s="232"/>
      <c r="O211" s="232"/>
    </row>
    <row r="212" spans="1:17" x14ac:dyDescent="0.25">
      <c r="A212" s="150"/>
      <c r="B212" s="208" t="s">
        <v>69</v>
      </c>
      <c r="C212" s="98" t="s">
        <v>240</v>
      </c>
      <c r="D212" s="104">
        <v>1902</v>
      </c>
      <c r="E212" s="104">
        <v>1947</v>
      </c>
      <c r="F212" s="104">
        <v>1995</v>
      </c>
      <c r="G212" s="104">
        <v>2040</v>
      </c>
      <c r="H212" s="104">
        <v>2090</v>
      </c>
      <c r="I212" s="105"/>
      <c r="J212" s="104"/>
      <c r="K212" s="104">
        <f t="shared" si="60"/>
        <v>1947</v>
      </c>
      <c r="M212" s="717"/>
    </row>
    <row r="213" spans="1:17" x14ac:dyDescent="0.25">
      <c r="A213" s="150"/>
      <c r="B213" s="208" t="s">
        <v>241</v>
      </c>
      <c r="C213" s="98" t="s">
        <v>242</v>
      </c>
      <c r="D213" s="104">
        <v>824</v>
      </c>
      <c r="E213" s="104">
        <v>868</v>
      </c>
      <c r="F213" s="104">
        <v>882</v>
      </c>
      <c r="G213" s="104">
        <v>890</v>
      </c>
      <c r="H213" s="104">
        <v>911</v>
      </c>
      <c r="I213" s="105"/>
      <c r="J213" s="104"/>
      <c r="K213" s="104">
        <f t="shared" si="60"/>
        <v>868</v>
      </c>
      <c r="M213" s="232"/>
      <c r="Q213" s="232"/>
    </row>
    <row r="214" spans="1:17" x14ac:dyDescent="0.25">
      <c r="A214" s="150"/>
      <c r="B214" s="208" t="s">
        <v>243</v>
      </c>
      <c r="C214" s="98" t="s">
        <v>244</v>
      </c>
      <c r="D214" s="104">
        <v>32136</v>
      </c>
      <c r="E214" s="104">
        <v>32057</v>
      </c>
      <c r="F214" s="104">
        <v>32989</v>
      </c>
      <c r="G214" s="104">
        <v>34117</v>
      </c>
      <c r="H214" s="104">
        <v>35067</v>
      </c>
      <c r="I214" s="105"/>
      <c r="J214" s="104"/>
      <c r="K214" s="104">
        <f t="shared" si="60"/>
        <v>32057</v>
      </c>
      <c r="L214" s="230"/>
      <c r="M214" s="230"/>
      <c r="N214" s="230"/>
      <c r="O214" s="230"/>
    </row>
    <row r="215" spans="1:17" x14ac:dyDescent="0.25">
      <c r="A215" s="150"/>
      <c r="B215" s="208" t="s">
        <v>245</v>
      </c>
      <c r="C215" s="98" t="s">
        <v>246</v>
      </c>
      <c r="D215" s="195">
        <v>125</v>
      </c>
      <c r="E215" s="195">
        <v>125</v>
      </c>
      <c r="F215" s="195">
        <v>125</v>
      </c>
      <c r="G215" s="195">
        <v>125</v>
      </c>
      <c r="H215" s="195">
        <v>125</v>
      </c>
      <c r="I215" s="196"/>
      <c r="J215" s="195"/>
      <c r="K215" s="195">
        <f t="shared" si="60"/>
        <v>125</v>
      </c>
      <c r="L215" s="230"/>
      <c r="M215" s="230"/>
      <c r="N215" s="230"/>
      <c r="O215" s="230"/>
    </row>
    <row r="216" spans="1:17" x14ac:dyDescent="0.25">
      <c r="A216" s="150"/>
      <c r="B216" s="208" t="s">
        <v>247</v>
      </c>
      <c r="C216" s="98" t="s">
        <v>248</v>
      </c>
      <c r="D216" s="195">
        <v>233</v>
      </c>
      <c r="E216" s="195">
        <v>292</v>
      </c>
      <c r="F216" s="195">
        <v>247</v>
      </c>
      <c r="G216" s="195">
        <v>248</v>
      </c>
      <c r="H216" s="195">
        <v>253</v>
      </c>
      <c r="I216" s="196"/>
      <c r="J216" s="195"/>
      <c r="K216" s="195">
        <f t="shared" si="60"/>
        <v>292</v>
      </c>
      <c r="L216" s="230"/>
      <c r="M216" s="230"/>
      <c r="N216" s="230"/>
      <c r="O216" s="230"/>
    </row>
    <row r="217" spans="1:17" x14ac:dyDescent="0.25">
      <c r="A217" s="150"/>
      <c r="B217" s="208" t="s">
        <v>249</v>
      </c>
      <c r="C217" s="98" t="s">
        <v>250</v>
      </c>
      <c r="D217" s="195">
        <v>731</v>
      </c>
      <c r="E217" s="195">
        <v>685</v>
      </c>
      <c r="F217" s="195">
        <v>763</v>
      </c>
      <c r="G217" s="195">
        <v>770</v>
      </c>
      <c r="H217" s="195">
        <v>788</v>
      </c>
      <c r="I217" s="196"/>
      <c r="J217" s="195"/>
      <c r="K217" s="195">
        <f t="shared" si="60"/>
        <v>685</v>
      </c>
    </row>
    <row r="218" spans="1:17" x14ac:dyDescent="0.25">
      <c r="A218" s="150"/>
      <c r="B218" s="208" t="s">
        <v>251</v>
      </c>
      <c r="C218" s="98" t="s">
        <v>252</v>
      </c>
      <c r="D218" s="195">
        <v>26</v>
      </c>
      <c r="E218" s="195">
        <v>26</v>
      </c>
      <c r="F218" s="195">
        <v>27</v>
      </c>
      <c r="G218" s="195">
        <v>28</v>
      </c>
      <c r="H218" s="195">
        <v>28</v>
      </c>
      <c r="I218" s="196"/>
      <c r="J218" s="195"/>
      <c r="K218" s="195">
        <f t="shared" si="60"/>
        <v>26</v>
      </c>
    </row>
    <row r="219" spans="1:17" x14ac:dyDescent="0.25">
      <c r="A219" s="150"/>
      <c r="B219" s="208" t="s">
        <v>253</v>
      </c>
      <c r="C219" s="98" t="s">
        <v>254</v>
      </c>
      <c r="D219" s="195">
        <v>5410</v>
      </c>
      <c r="E219" s="195">
        <v>6376</v>
      </c>
      <c r="F219" s="195">
        <v>6411</v>
      </c>
      <c r="G219" s="195">
        <v>6307</v>
      </c>
      <c r="H219" s="195">
        <v>6367</v>
      </c>
      <c r="I219" s="196"/>
      <c r="J219" s="195"/>
      <c r="K219" s="195">
        <f t="shared" si="60"/>
        <v>6376</v>
      </c>
    </row>
    <row r="220" spans="1:17" s="199" customFormat="1" x14ac:dyDescent="0.25">
      <c r="A220" s="110" t="s">
        <v>255</v>
      </c>
      <c r="B220" s="190" t="s">
        <v>256</v>
      </c>
      <c r="C220" s="191" t="s">
        <v>87</v>
      </c>
      <c r="D220" s="192" t="e">
        <f>D222+#REF!</f>
        <v>#REF!</v>
      </c>
      <c r="E220" s="192">
        <f>E222+E221</f>
        <v>30958</v>
      </c>
      <c r="F220" s="192">
        <f t="shared" ref="F220:K220" si="77">F222+F221</f>
        <v>8823</v>
      </c>
      <c r="G220" s="192">
        <f t="shared" si="77"/>
        <v>9436</v>
      </c>
      <c r="H220" s="192">
        <f t="shared" si="77"/>
        <v>9266</v>
      </c>
      <c r="I220" s="192" t="e">
        <f t="shared" si="77"/>
        <v>#VALUE!</v>
      </c>
      <c r="J220" s="192">
        <f t="shared" si="77"/>
        <v>0</v>
      </c>
      <c r="K220" s="192">
        <f t="shared" si="77"/>
        <v>30958</v>
      </c>
    </row>
    <row r="221" spans="1:17" s="1073" customFormat="1" x14ac:dyDescent="0.25">
      <c r="A221" s="1069"/>
      <c r="B221" s="208" t="s">
        <v>71</v>
      </c>
      <c r="C221" s="1070" t="s">
        <v>284</v>
      </c>
      <c r="D221" s="1071"/>
      <c r="E221" s="1071">
        <v>21088</v>
      </c>
      <c r="F221" s="1071"/>
      <c r="G221" s="1071"/>
      <c r="H221" s="1071"/>
      <c r="I221" s="1071"/>
      <c r="J221" s="104"/>
      <c r="K221" s="104">
        <f>E221+J221</f>
        <v>21088</v>
      </c>
      <c r="L221" s="1072"/>
      <c r="M221" s="1072"/>
      <c r="N221" s="1072"/>
      <c r="O221" s="1072"/>
    </row>
    <row r="222" spans="1:17" s="199" customFormat="1" x14ac:dyDescent="0.25">
      <c r="A222" s="110"/>
      <c r="B222" s="190" t="s">
        <v>691</v>
      </c>
      <c r="C222" s="233" t="s">
        <v>258</v>
      </c>
      <c r="D222" s="215">
        <f>SUM(D223:D236)</f>
        <v>8259</v>
      </c>
      <c r="E222" s="215">
        <f>SUM(E223:E236)</f>
        <v>9870</v>
      </c>
      <c r="F222" s="215">
        <f t="shared" ref="F222:K222" si="78">SUM(F223:F236)</f>
        <v>8823</v>
      </c>
      <c r="G222" s="215">
        <f t="shared" si="78"/>
        <v>9436</v>
      </c>
      <c r="H222" s="215">
        <f t="shared" si="78"/>
        <v>9266</v>
      </c>
      <c r="I222" s="215" t="e">
        <f t="shared" si="78"/>
        <v>#VALUE!</v>
      </c>
      <c r="J222" s="215">
        <f t="shared" si="78"/>
        <v>0</v>
      </c>
      <c r="K222" s="215">
        <f t="shared" si="78"/>
        <v>9870</v>
      </c>
      <c r="L222" s="229"/>
      <c r="M222" s="229"/>
      <c r="N222" s="229"/>
      <c r="O222" s="229"/>
      <c r="Q222" s="234"/>
    </row>
    <row r="223" spans="1:17" s="239" customFormat="1" x14ac:dyDescent="0.25">
      <c r="A223" s="235"/>
      <c r="B223" s="236" t="s">
        <v>259</v>
      </c>
      <c r="C223" s="237" t="s">
        <v>260</v>
      </c>
      <c r="D223" s="238">
        <v>1336</v>
      </c>
      <c r="E223" s="238">
        <v>1410</v>
      </c>
      <c r="F223" s="238">
        <v>1464</v>
      </c>
      <c r="G223" s="238">
        <v>1489</v>
      </c>
      <c r="H223" s="238">
        <v>1525</v>
      </c>
      <c r="I223" s="215" t="e">
        <f>SUM("$#ODWOŁANIE$#ODWOŁANIE:$#ODWOŁANIE$#ODWOŁANIE")</f>
        <v>#VALUE!</v>
      </c>
      <c r="J223" s="238"/>
      <c r="K223" s="238">
        <f t="shared" ref="K223:K284" si="79">E223+J223</f>
        <v>1410</v>
      </c>
    </row>
    <row r="224" spans="1:17" x14ac:dyDescent="0.25">
      <c r="A224" s="150"/>
      <c r="B224" s="240" t="s">
        <v>261</v>
      </c>
      <c r="C224" s="98" t="s">
        <v>262</v>
      </c>
      <c r="D224" s="104">
        <v>120</v>
      </c>
      <c r="E224" s="104">
        <v>80</v>
      </c>
      <c r="F224" s="104">
        <v>80</v>
      </c>
      <c r="G224" s="104">
        <v>80</v>
      </c>
      <c r="H224" s="104">
        <v>80</v>
      </c>
      <c r="I224" s="105"/>
      <c r="J224" s="104"/>
      <c r="K224" s="104">
        <f t="shared" si="79"/>
        <v>80</v>
      </c>
    </row>
    <row r="225" spans="1:15" x14ac:dyDescent="0.25">
      <c r="A225" s="150"/>
      <c r="B225" s="208" t="s">
        <v>263</v>
      </c>
      <c r="C225" s="98" t="s">
        <v>264</v>
      </c>
      <c r="D225" s="104">
        <v>336</v>
      </c>
      <c r="E225" s="104">
        <v>345</v>
      </c>
      <c r="F225" s="104">
        <v>354</v>
      </c>
      <c r="G225" s="104">
        <v>358</v>
      </c>
      <c r="H225" s="104">
        <v>367</v>
      </c>
      <c r="I225" s="105"/>
      <c r="J225" s="104"/>
      <c r="K225" s="104">
        <f t="shared" si="79"/>
        <v>345</v>
      </c>
    </row>
    <row r="226" spans="1:15" x14ac:dyDescent="0.25">
      <c r="A226" s="150"/>
      <c r="B226" s="208" t="s">
        <v>265</v>
      </c>
      <c r="C226" s="98" t="s">
        <v>266</v>
      </c>
      <c r="D226" s="104">
        <v>1120</v>
      </c>
      <c r="E226" s="104">
        <v>1120</v>
      </c>
      <c r="F226" s="104">
        <v>1120</v>
      </c>
      <c r="G226" s="104">
        <v>1120</v>
      </c>
      <c r="H226" s="104">
        <v>1120</v>
      </c>
      <c r="I226" s="105"/>
      <c r="J226" s="104"/>
      <c r="K226" s="104">
        <f t="shared" si="79"/>
        <v>1120</v>
      </c>
    </row>
    <row r="227" spans="1:15" x14ac:dyDescent="0.25">
      <c r="A227" s="150"/>
      <c r="B227" s="208" t="s">
        <v>267</v>
      </c>
      <c r="C227" s="98" t="s">
        <v>268</v>
      </c>
      <c r="D227" s="104">
        <v>56</v>
      </c>
      <c r="E227" s="104">
        <v>58</v>
      </c>
      <c r="F227" s="104">
        <v>59</v>
      </c>
      <c r="G227" s="104">
        <v>60</v>
      </c>
      <c r="H227" s="104">
        <v>62</v>
      </c>
      <c r="I227" s="105"/>
      <c r="J227" s="104"/>
      <c r="K227" s="104">
        <f t="shared" si="79"/>
        <v>58</v>
      </c>
    </row>
    <row r="228" spans="1:15" x14ac:dyDescent="0.25">
      <c r="A228" s="150"/>
      <c r="B228" s="208" t="s">
        <v>269</v>
      </c>
      <c r="C228" s="98" t="s">
        <v>270</v>
      </c>
      <c r="D228" s="104">
        <v>3</v>
      </c>
      <c r="E228" s="104">
        <v>3</v>
      </c>
      <c r="F228" s="104">
        <v>3</v>
      </c>
      <c r="G228" s="104">
        <v>3</v>
      </c>
      <c r="H228" s="104">
        <v>3</v>
      </c>
      <c r="I228" s="105"/>
      <c r="J228" s="104"/>
      <c r="K228" s="104">
        <f t="shared" si="79"/>
        <v>3</v>
      </c>
    </row>
    <row r="229" spans="1:15" x14ac:dyDescent="0.25">
      <c r="A229" s="150"/>
      <c r="B229" s="208" t="s">
        <v>271</v>
      </c>
      <c r="C229" s="98" t="s">
        <v>272</v>
      </c>
      <c r="D229" s="104">
        <v>2</v>
      </c>
      <c r="E229" s="104">
        <v>2</v>
      </c>
      <c r="F229" s="104">
        <v>2</v>
      </c>
      <c r="G229" s="104">
        <v>1</v>
      </c>
      <c r="H229" s="104">
        <v>2</v>
      </c>
      <c r="I229" s="105"/>
      <c r="J229" s="104"/>
      <c r="K229" s="104">
        <f t="shared" si="79"/>
        <v>2</v>
      </c>
      <c r="L229" s="230"/>
      <c r="M229" s="230"/>
      <c r="N229" s="230"/>
      <c r="O229" s="230"/>
    </row>
    <row r="230" spans="1:15" x14ac:dyDescent="0.25">
      <c r="A230" s="150"/>
      <c r="B230" s="208" t="s">
        <v>273</v>
      </c>
      <c r="C230" s="98" t="s">
        <v>274</v>
      </c>
      <c r="D230" s="195">
        <v>42</v>
      </c>
      <c r="E230" s="195">
        <v>43</v>
      </c>
      <c r="F230" s="195">
        <v>44</v>
      </c>
      <c r="G230" s="195">
        <v>45</v>
      </c>
      <c r="H230" s="195">
        <v>46</v>
      </c>
      <c r="I230" s="196"/>
      <c r="J230" s="195"/>
      <c r="K230" s="195">
        <f t="shared" si="79"/>
        <v>43</v>
      </c>
    </row>
    <row r="231" spans="1:15" x14ac:dyDescent="0.25">
      <c r="A231" s="150"/>
      <c r="B231" s="208" t="s">
        <v>689</v>
      </c>
      <c r="C231" s="98" t="s">
        <v>688</v>
      </c>
      <c r="D231" s="195"/>
      <c r="E231" s="195">
        <v>13</v>
      </c>
      <c r="F231" s="195"/>
      <c r="G231" s="195"/>
      <c r="H231" s="195"/>
      <c r="I231" s="196"/>
      <c r="J231" s="195"/>
      <c r="K231" s="195">
        <f t="shared" si="79"/>
        <v>13</v>
      </c>
    </row>
    <row r="232" spans="1:15" x14ac:dyDescent="0.25">
      <c r="A232" s="150"/>
      <c r="B232" s="208" t="s">
        <v>275</v>
      </c>
      <c r="C232" s="98" t="s">
        <v>276</v>
      </c>
      <c r="D232" s="195">
        <v>0</v>
      </c>
      <c r="E232" s="195">
        <v>0</v>
      </c>
      <c r="F232" s="195">
        <v>0</v>
      </c>
      <c r="G232" s="195">
        <v>0</v>
      </c>
      <c r="H232" s="195">
        <v>0</v>
      </c>
      <c r="I232" s="196"/>
      <c r="J232" s="195"/>
      <c r="K232" s="195">
        <f t="shared" si="79"/>
        <v>0</v>
      </c>
    </row>
    <row r="233" spans="1:15" x14ac:dyDescent="0.25">
      <c r="A233" s="150"/>
      <c r="B233" s="208" t="s">
        <v>131</v>
      </c>
      <c r="C233" s="98" t="s">
        <v>277</v>
      </c>
      <c r="D233" s="195">
        <v>314</v>
      </c>
      <c r="E233" s="195">
        <v>311</v>
      </c>
      <c r="F233" s="195">
        <v>307</v>
      </c>
      <c r="G233" s="195">
        <v>302</v>
      </c>
      <c r="H233" s="195">
        <v>307</v>
      </c>
      <c r="I233" s="196"/>
      <c r="J233" s="195"/>
      <c r="K233" s="195">
        <f t="shared" si="79"/>
        <v>311</v>
      </c>
      <c r="L233" s="230"/>
      <c r="M233" s="230"/>
      <c r="N233" s="230"/>
      <c r="O233" s="230"/>
    </row>
    <row r="234" spans="1:15" x14ac:dyDescent="0.25">
      <c r="A234" s="150"/>
      <c r="B234" s="208" t="s">
        <v>278</v>
      </c>
      <c r="C234" s="98" t="s">
        <v>279</v>
      </c>
      <c r="D234" s="195">
        <v>0</v>
      </c>
      <c r="E234" s="195">
        <v>0</v>
      </c>
      <c r="F234" s="195">
        <v>0</v>
      </c>
      <c r="G234" s="195">
        <v>0</v>
      </c>
      <c r="H234" s="195">
        <v>0</v>
      </c>
      <c r="I234" s="196"/>
      <c r="J234" s="195"/>
      <c r="K234" s="195">
        <f t="shared" si="79"/>
        <v>0</v>
      </c>
      <c r="L234" s="241"/>
      <c r="M234" s="241"/>
      <c r="N234" s="241"/>
      <c r="O234" s="241"/>
    </row>
    <row r="235" spans="1:15" ht="15.75" customHeight="1" x14ac:dyDescent="0.25">
      <c r="A235" s="150"/>
      <c r="B235" s="208" t="s">
        <v>280</v>
      </c>
      <c r="C235" s="98" t="s">
        <v>281</v>
      </c>
      <c r="D235" s="195">
        <v>150</v>
      </c>
      <c r="E235" s="195">
        <v>0</v>
      </c>
      <c r="F235" s="195">
        <v>0</v>
      </c>
      <c r="G235" s="195">
        <v>0</v>
      </c>
      <c r="H235" s="195">
        <v>0</v>
      </c>
      <c r="I235" s="196"/>
      <c r="J235" s="195"/>
      <c r="K235" s="195">
        <f t="shared" si="79"/>
        <v>0</v>
      </c>
    </row>
    <row r="236" spans="1:15" x14ac:dyDescent="0.25">
      <c r="A236" s="150"/>
      <c r="B236" s="208" t="s">
        <v>282</v>
      </c>
      <c r="C236" s="98" t="s">
        <v>283</v>
      </c>
      <c r="D236" s="104">
        <v>4780</v>
      </c>
      <c r="E236" s="104">
        <v>6485</v>
      </c>
      <c r="F236" s="104">
        <v>5390</v>
      </c>
      <c r="G236" s="104">
        <v>5978</v>
      </c>
      <c r="H236" s="104">
        <v>5754</v>
      </c>
      <c r="I236" s="105"/>
      <c r="J236" s="104"/>
      <c r="K236" s="104">
        <f t="shared" si="79"/>
        <v>6485</v>
      </c>
    </row>
    <row r="237" spans="1:15" s="247" customFormat="1" ht="27.75" customHeight="1" x14ac:dyDescent="0.25">
      <c r="A237" s="242" t="s">
        <v>285</v>
      </c>
      <c r="B237" s="243" t="s">
        <v>286</v>
      </c>
      <c r="C237" s="244" t="s">
        <v>287</v>
      </c>
      <c r="D237" s="245">
        <v>195133</v>
      </c>
      <c r="E237" s="245">
        <v>175000</v>
      </c>
      <c r="F237" s="245">
        <v>175000</v>
      </c>
      <c r="G237" s="245">
        <v>165000</v>
      </c>
      <c r="H237" s="245">
        <v>165000</v>
      </c>
      <c r="I237" s="246"/>
      <c r="J237" s="245"/>
      <c r="K237" s="245">
        <f t="shared" si="79"/>
        <v>175000</v>
      </c>
      <c r="L237" s="230"/>
      <c r="M237" s="230"/>
      <c r="N237" s="230"/>
      <c r="O237" s="230"/>
    </row>
    <row r="238" spans="1:15" x14ac:dyDescent="0.25">
      <c r="A238" s="150"/>
      <c r="B238" s="208"/>
      <c r="C238" s="98"/>
      <c r="D238" s="104"/>
      <c r="E238" s="104"/>
      <c r="F238" s="104"/>
      <c r="G238" s="104"/>
      <c r="H238" s="104"/>
      <c r="I238" s="105"/>
      <c r="J238" s="104"/>
      <c r="K238" s="104">
        <f t="shared" si="79"/>
        <v>0</v>
      </c>
    </row>
    <row r="239" spans="1:15" s="199" customFormat="1" x14ac:dyDescent="0.25">
      <c r="A239" s="109" t="s">
        <v>31</v>
      </c>
      <c r="B239" s="248" t="s">
        <v>288</v>
      </c>
      <c r="C239" s="133" t="s">
        <v>87</v>
      </c>
      <c r="D239" s="134">
        <f>SUM(D240,D245)</f>
        <v>130878</v>
      </c>
      <c r="E239" s="134">
        <f>SUM(E240,E245)</f>
        <v>169473</v>
      </c>
      <c r="F239" s="134">
        <f t="shared" ref="F239:K239" si="80">SUM(F240,F245)</f>
        <v>194463</v>
      </c>
      <c r="G239" s="134">
        <f t="shared" si="80"/>
        <v>183057</v>
      </c>
      <c r="H239" s="134">
        <f t="shared" si="80"/>
        <v>181100</v>
      </c>
      <c r="I239" s="134">
        <f t="shared" si="80"/>
        <v>0</v>
      </c>
      <c r="J239" s="134">
        <f t="shared" si="80"/>
        <v>0</v>
      </c>
      <c r="K239" s="134">
        <f t="shared" si="80"/>
        <v>169473</v>
      </c>
      <c r="L239" s="229"/>
      <c r="M239" s="229"/>
      <c r="N239" s="229"/>
      <c r="O239" s="229"/>
    </row>
    <row r="240" spans="1:15" s="199" customFormat="1" x14ac:dyDescent="0.25">
      <c r="A240" s="110" t="s">
        <v>33</v>
      </c>
      <c r="B240" s="249" t="s">
        <v>289</v>
      </c>
      <c r="C240" s="250" t="s">
        <v>87</v>
      </c>
      <c r="D240" s="251">
        <f t="shared" ref="D240:K240" si="81">SUM(D241:D241)</f>
        <v>41131</v>
      </c>
      <c r="E240" s="251">
        <f t="shared" si="81"/>
        <v>45573</v>
      </c>
      <c r="F240" s="251">
        <f t="shared" si="81"/>
        <v>45483</v>
      </c>
      <c r="G240" s="251">
        <f t="shared" si="81"/>
        <v>34077</v>
      </c>
      <c r="H240" s="251">
        <f t="shared" si="81"/>
        <v>32120</v>
      </c>
      <c r="I240" s="251">
        <f t="shared" si="81"/>
        <v>0</v>
      </c>
      <c r="J240" s="251">
        <f t="shared" si="81"/>
        <v>0</v>
      </c>
      <c r="K240" s="251">
        <f t="shared" si="81"/>
        <v>45573</v>
      </c>
      <c r="L240" s="193"/>
      <c r="M240" s="193"/>
      <c r="N240" s="193"/>
      <c r="O240" s="193"/>
    </row>
    <row r="241" spans="1:15" s="199" customFormat="1" x14ac:dyDescent="0.25">
      <c r="A241" s="110"/>
      <c r="B241" s="194" t="s">
        <v>150</v>
      </c>
      <c r="C241" s="250" t="s">
        <v>290</v>
      </c>
      <c r="D241" s="251">
        <f>SUM(D242,D244)</f>
        <v>41131</v>
      </c>
      <c r="E241" s="251">
        <f>SUM(E242,E244)</f>
        <v>45573</v>
      </c>
      <c r="F241" s="251">
        <f t="shared" ref="F241:K241" si="82">SUM(F242,F244)</f>
        <v>45483</v>
      </c>
      <c r="G241" s="251">
        <f t="shared" si="82"/>
        <v>34077</v>
      </c>
      <c r="H241" s="251">
        <f t="shared" si="82"/>
        <v>32120</v>
      </c>
      <c r="I241" s="251">
        <f t="shared" si="82"/>
        <v>0</v>
      </c>
      <c r="J241" s="251">
        <f t="shared" si="82"/>
        <v>0</v>
      </c>
      <c r="K241" s="251">
        <f t="shared" si="82"/>
        <v>45573</v>
      </c>
      <c r="L241" s="193"/>
      <c r="M241" s="193"/>
      <c r="N241" s="193"/>
      <c r="O241" s="193"/>
    </row>
    <row r="242" spans="1:15" x14ac:dyDescent="0.25">
      <c r="A242" s="150"/>
      <c r="B242" s="138" t="s">
        <v>291</v>
      </c>
      <c r="C242" s="98">
        <v>6110</v>
      </c>
      <c r="D242" s="104">
        <v>24883</v>
      </c>
      <c r="E242" s="104">
        <v>22318</v>
      </c>
      <c r="F242" s="104">
        <v>26818</v>
      </c>
      <c r="G242" s="104">
        <v>19819</v>
      </c>
      <c r="H242" s="104">
        <v>19319</v>
      </c>
      <c r="I242" s="100"/>
      <c r="J242" s="104"/>
      <c r="K242" s="104">
        <f t="shared" si="79"/>
        <v>22318</v>
      </c>
      <c r="L242" s="252"/>
      <c r="M242" s="252"/>
      <c r="N242" s="252"/>
      <c r="O242" s="252"/>
    </row>
    <row r="243" spans="1:15" s="199" customFormat="1" x14ac:dyDescent="0.25">
      <c r="A243" s="110"/>
      <c r="B243" s="190" t="s">
        <v>292</v>
      </c>
      <c r="C243" s="191" t="s">
        <v>87</v>
      </c>
      <c r="D243" s="215">
        <f t="shared" ref="D243:K243" si="83">SUM(D244:D244)</f>
        <v>16248</v>
      </c>
      <c r="E243" s="215">
        <f t="shared" si="83"/>
        <v>23255</v>
      </c>
      <c r="F243" s="215">
        <f t="shared" si="83"/>
        <v>18665</v>
      </c>
      <c r="G243" s="215">
        <f t="shared" si="83"/>
        <v>14258</v>
      </c>
      <c r="H243" s="215">
        <f t="shared" si="83"/>
        <v>12801</v>
      </c>
      <c r="I243" s="215">
        <f t="shared" si="83"/>
        <v>0</v>
      </c>
      <c r="J243" s="215">
        <f t="shared" si="83"/>
        <v>0</v>
      </c>
      <c r="K243" s="215">
        <f t="shared" si="83"/>
        <v>23255</v>
      </c>
      <c r="L243" s="115"/>
      <c r="M243" s="115"/>
      <c r="N243" s="115"/>
      <c r="O243" s="115"/>
    </row>
    <row r="244" spans="1:15" x14ac:dyDescent="0.25">
      <c r="A244" s="150"/>
      <c r="B244" s="103" t="s">
        <v>293</v>
      </c>
      <c r="C244" s="98" t="s">
        <v>294</v>
      </c>
      <c r="D244" s="104">
        <v>16248</v>
      </c>
      <c r="E244" s="104">
        <v>23255</v>
      </c>
      <c r="F244" s="104">
        <v>18665</v>
      </c>
      <c r="G244" s="104">
        <v>14258</v>
      </c>
      <c r="H244" s="104">
        <v>12801</v>
      </c>
      <c r="I244" s="105"/>
      <c r="J244" s="104"/>
      <c r="K244" s="104">
        <f t="shared" si="79"/>
        <v>23255</v>
      </c>
      <c r="L244" s="85"/>
      <c r="M244" s="85"/>
      <c r="N244" s="85"/>
      <c r="O244" s="85"/>
    </row>
    <row r="245" spans="1:15" s="193" customFormat="1" ht="15" x14ac:dyDescent="0.25">
      <c r="A245" s="189" t="s">
        <v>34</v>
      </c>
      <c r="B245" s="190" t="s">
        <v>295</v>
      </c>
      <c r="C245" s="191" t="s">
        <v>87</v>
      </c>
      <c r="D245" s="192">
        <f>SUM(D246,D263)</f>
        <v>89747</v>
      </c>
      <c r="E245" s="192">
        <f>SUM(E246,E263)</f>
        <v>123900</v>
      </c>
      <c r="F245" s="192">
        <f t="shared" ref="F245:K245" si="84">SUM(F246,F263)</f>
        <v>148980</v>
      </c>
      <c r="G245" s="192">
        <f t="shared" si="84"/>
        <v>148980</v>
      </c>
      <c r="H245" s="192">
        <f t="shared" si="84"/>
        <v>148980</v>
      </c>
      <c r="I245" s="192">
        <f t="shared" si="84"/>
        <v>0</v>
      </c>
      <c r="J245" s="192">
        <f t="shared" si="84"/>
        <v>0</v>
      </c>
      <c r="K245" s="192">
        <f t="shared" si="84"/>
        <v>123900</v>
      </c>
      <c r="L245" s="115"/>
      <c r="M245" s="115"/>
      <c r="N245" s="115"/>
      <c r="O245" s="115"/>
    </row>
    <row r="246" spans="1:15" s="193" customFormat="1" ht="15" x14ac:dyDescent="0.25">
      <c r="A246" s="189" t="s">
        <v>296</v>
      </c>
      <c r="B246" s="253" t="s">
        <v>297</v>
      </c>
      <c r="C246" s="191" t="s">
        <v>87</v>
      </c>
      <c r="D246" s="192">
        <f t="shared" ref="D246:K246" si="85">SUM(D247:D247)</f>
        <v>86848</v>
      </c>
      <c r="E246" s="192">
        <f t="shared" si="85"/>
        <v>118600</v>
      </c>
      <c r="F246" s="192">
        <f t="shared" si="85"/>
        <v>139380</v>
      </c>
      <c r="G246" s="192">
        <f t="shared" si="85"/>
        <v>139380</v>
      </c>
      <c r="H246" s="192">
        <f t="shared" si="85"/>
        <v>139380</v>
      </c>
      <c r="I246" s="192">
        <f t="shared" si="85"/>
        <v>0</v>
      </c>
      <c r="J246" s="192">
        <f t="shared" si="85"/>
        <v>0</v>
      </c>
      <c r="K246" s="192">
        <f t="shared" si="85"/>
        <v>118600</v>
      </c>
      <c r="L246" s="115"/>
      <c r="M246" s="115"/>
      <c r="N246" s="115"/>
      <c r="O246" s="115"/>
    </row>
    <row r="247" spans="1:15" s="193" customFormat="1" ht="15" x14ac:dyDescent="0.25">
      <c r="A247" s="189"/>
      <c r="B247" s="254" t="s">
        <v>293</v>
      </c>
      <c r="C247" s="191" t="s">
        <v>298</v>
      </c>
      <c r="D247" s="192">
        <f>SUM(D248,D249:D251)</f>
        <v>86848</v>
      </c>
      <c r="E247" s="192">
        <f>SUM(E248,E249:E251)</f>
        <v>118600</v>
      </c>
      <c r="F247" s="192">
        <f t="shared" ref="F247:K247" si="86">SUM(F248,F249:F251)</f>
        <v>139380</v>
      </c>
      <c r="G247" s="192">
        <f t="shared" si="86"/>
        <v>139380</v>
      </c>
      <c r="H247" s="192">
        <f t="shared" si="86"/>
        <v>139380</v>
      </c>
      <c r="I247" s="192">
        <f t="shared" si="86"/>
        <v>0</v>
      </c>
      <c r="J247" s="192">
        <f t="shared" si="86"/>
        <v>0</v>
      </c>
      <c r="K247" s="192">
        <f t="shared" si="86"/>
        <v>118600</v>
      </c>
    </row>
    <row r="248" spans="1:15" s="85" customFormat="1" x14ac:dyDescent="0.25">
      <c r="A248" s="102"/>
      <c r="B248" s="255" t="s">
        <v>299</v>
      </c>
      <c r="C248" s="98" t="s">
        <v>298</v>
      </c>
      <c r="D248" s="177">
        <v>45200</v>
      </c>
      <c r="E248" s="1024">
        <v>57500</v>
      </c>
      <c r="F248" s="1025">
        <v>68700</v>
      </c>
      <c r="G248" s="1025">
        <v>68700</v>
      </c>
      <c r="H248" s="1025">
        <v>68700</v>
      </c>
      <c r="I248" s="1026"/>
      <c r="J248" s="1024"/>
      <c r="K248" s="1024">
        <f t="shared" si="79"/>
        <v>57500</v>
      </c>
    </row>
    <row r="249" spans="1:15" s="85" customFormat="1" x14ac:dyDescent="0.25">
      <c r="A249" s="102"/>
      <c r="B249" s="240" t="s">
        <v>300</v>
      </c>
      <c r="C249" s="98" t="s">
        <v>298</v>
      </c>
      <c r="D249" s="177"/>
      <c r="E249" s="177">
        <v>1000</v>
      </c>
      <c r="F249" s="177"/>
      <c r="G249" s="177"/>
      <c r="H249" s="177"/>
      <c r="I249" s="178"/>
      <c r="J249" s="177"/>
      <c r="K249" s="177">
        <f t="shared" si="79"/>
        <v>1000</v>
      </c>
    </row>
    <row r="250" spans="1:15" s="85" customFormat="1" ht="15" x14ac:dyDescent="0.25">
      <c r="A250" s="102"/>
      <c r="B250" s="240" t="s">
        <v>301</v>
      </c>
      <c r="C250" s="98" t="s">
        <v>298</v>
      </c>
      <c r="D250" s="195">
        <v>84</v>
      </c>
      <c r="E250" s="195">
        <v>100</v>
      </c>
      <c r="F250" s="195">
        <v>100</v>
      </c>
      <c r="G250" s="195">
        <v>100</v>
      </c>
      <c r="H250" s="195">
        <v>100</v>
      </c>
      <c r="I250" s="196"/>
      <c r="J250" s="195"/>
      <c r="K250" s="195">
        <f t="shared" si="79"/>
        <v>100</v>
      </c>
    </row>
    <row r="251" spans="1:15" s="193" customFormat="1" ht="30" x14ac:dyDescent="0.25">
      <c r="A251" s="189"/>
      <c r="B251" s="213" t="s">
        <v>302</v>
      </c>
      <c r="C251" s="191" t="s">
        <v>298</v>
      </c>
      <c r="D251" s="192">
        <f t="shared" ref="D251:K251" si="87">SUM(D252:D261)</f>
        <v>41564</v>
      </c>
      <c r="E251" s="192">
        <f t="shared" si="87"/>
        <v>60000</v>
      </c>
      <c r="F251" s="192">
        <f t="shared" si="87"/>
        <v>70580</v>
      </c>
      <c r="G251" s="192">
        <f t="shared" si="87"/>
        <v>70580</v>
      </c>
      <c r="H251" s="192">
        <f t="shared" si="87"/>
        <v>70580</v>
      </c>
      <c r="I251" s="192">
        <f t="shared" si="87"/>
        <v>0</v>
      </c>
      <c r="J251" s="192">
        <f t="shared" si="87"/>
        <v>0</v>
      </c>
      <c r="K251" s="192">
        <f t="shared" si="87"/>
        <v>60000</v>
      </c>
      <c r="L251" s="115"/>
      <c r="M251" s="115"/>
      <c r="N251" s="115"/>
      <c r="O251" s="115"/>
    </row>
    <row r="252" spans="1:15" s="85" customFormat="1" ht="15" x14ac:dyDescent="0.25">
      <c r="A252" s="102"/>
      <c r="B252" s="200" t="s">
        <v>166</v>
      </c>
      <c r="C252" s="98"/>
      <c r="D252" s="104">
        <v>0</v>
      </c>
      <c r="E252" s="104">
        <v>0</v>
      </c>
      <c r="F252" s="104"/>
      <c r="G252" s="104"/>
      <c r="H252" s="104"/>
      <c r="I252" s="105"/>
      <c r="J252" s="104"/>
      <c r="K252" s="104">
        <f t="shared" si="79"/>
        <v>0</v>
      </c>
    </row>
    <row r="253" spans="1:15" s="85" customFormat="1" ht="15" x14ac:dyDescent="0.25">
      <c r="A253" s="102"/>
      <c r="B253" s="200" t="s">
        <v>303</v>
      </c>
      <c r="C253" s="98"/>
      <c r="D253" s="104">
        <v>0</v>
      </c>
      <c r="E253" s="104">
        <v>0</v>
      </c>
      <c r="F253" s="104"/>
      <c r="G253" s="104"/>
      <c r="H253" s="104"/>
      <c r="I253" s="105"/>
      <c r="J253" s="104"/>
      <c r="K253" s="104">
        <f t="shared" si="79"/>
        <v>0</v>
      </c>
    </row>
    <row r="254" spans="1:15" s="85" customFormat="1" x14ac:dyDescent="0.25">
      <c r="A254" s="102"/>
      <c r="B254" s="200" t="s">
        <v>304</v>
      </c>
      <c r="C254" s="98"/>
      <c r="D254" s="177">
        <v>0</v>
      </c>
      <c r="E254" s="177">
        <v>0</v>
      </c>
      <c r="F254" s="177"/>
      <c r="G254" s="177"/>
      <c r="H254" s="177"/>
      <c r="I254" s="178"/>
      <c r="J254" s="177"/>
      <c r="K254" s="177">
        <f t="shared" si="79"/>
        <v>0</v>
      </c>
    </row>
    <row r="255" spans="1:15" s="85" customFormat="1" x14ac:dyDescent="0.25">
      <c r="A255" s="102"/>
      <c r="B255" s="200" t="s">
        <v>168</v>
      </c>
      <c r="C255" s="98"/>
      <c r="D255" s="177">
        <v>0</v>
      </c>
      <c r="E255" s="177">
        <v>0</v>
      </c>
      <c r="F255" s="177"/>
      <c r="G255" s="177"/>
      <c r="H255" s="177"/>
      <c r="I255" s="178"/>
      <c r="J255" s="177"/>
      <c r="K255" s="177">
        <f t="shared" si="79"/>
        <v>0</v>
      </c>
      <c r="L255" s="252"/>
      <c r="M255" s="252"/>
      <c r="N255" s="252"/>
      <c r="O255" s="252"/>
    </row>
    <row r="256" spans="1:15" s="85" customFormat="1" x14ac:dyDescent="0.25">
      <c r="A256" s="102"/>
      <c r="B256" s="200" t="s">
        <v>169</v>
      </c>
      <c r="C256" s="98"/>
      <c r="D256" s="177">
        <v>0</v>
      </c>
      <c r="E256" s="177">
        <v>0</v>
      </c>
      <c r="F256" s="177"/>
      <c r="G256" s="177"/>
      <c r="H256" s="256"/>
      <c r="I256" s="178"/>
      <c r="J256" s="177"/>
      <c r="K256" s="177">
        <f t="shared" si="79"/>
        <v>0</v>
      </c>
      <c r="L256" s="252"/>
      <c r="M256" s="252"/>
      <c r="N256" s="252"/>
      <c r="O256" s="252"/>
    </row>
    <row r="257" spans="1:15" s="85" customFormat="1" x14ac:dyDescent="0.25">
      <c r="A257" s="102"/>
      <c r="B257" s="200" t="s">
        <v>174</v>
      </c>
      <c r="C257" s="98"/>
      <c r="D257" s="177">
        <v>0</v>
      </c>
      <c r="E257" s="177">
        <v>0</v>
      </c>
      <c r="F257" s="177"/>
      <c r="G257" s="177"/>
      <c r="H257" s="177"/>
      <c r="I257" s="178"/>
      <c r="J257" s="177"/>
      <c r="K257" s="177">
        <f t="shared" si="79"/>
        <v>0</v>
      </c>
    </row>
    <row r="258" spans="1:15" s="85" customFormat="1" ht="15" x14ac:dyDescent="0.25">
      <c r="A258" s="102"/>
      <c r="B258" s="200" t="s">
        <v>175</v>
      </c>
      <c r="C258" s="98"/>
      <c r="D258" s="195">
        <v>0</v>
      </c>
      <c r="E258" s="195">
        <v>0</v>
      </c>
      <c r="F258" s="195"/>
      <c r="G258" s="195"/>
      <c r="H258" s="195"/>
      <c r="I258" s="196"/>
      <c r="J258" s="195"/>
      <c r="K258" s="195">
        <f t="shared" si="79"/>
        <v>0</v>
      </c>
    </row>
    <row r="259" spans="1:15" s="85" customFormat="1" ht="15" x14ac:dyDescent="0.25">
      <c r="A259" s="102"/>
      <c r="B259" s="200" t="s">
        <v>178</v>
      </c>
      <c r="C259" s="98"/>
      <c r="D259" s="195">
        <v>0</v>
      </c>
      <c r="E259" s="195">
        <v>0</v>
      </c>
      <c r="F259" s="195"/>
      <c r="G259" s="195"/>
      <c r="H259" s="195"/>
      <c r="I259" s="196"/>
      <c r="J259" s="195"/>
      <c r="K259" s="195">
        <f t="shared" si="79"/>
        <v>0</v>
      </c>
    </row>
    <row r="260" spans="1:15" s="85" customFormat="1" ht="15" x14ac:dyDescent="0.25">
      <c r="A260" s="102"/>
      <c r="B260" s="200" t="s">
        <v>177</v>
      </c>
      <c r="C260" s="98"/>
      <c r="D260" s="195">
        <v>41564</v>
      </c>
      <c r="E260" s="1007">
        <v>60000</v>
      </c>
      <c r="F260" s="1007">
        <v>60000</v>
      </c>
      <c r="G260" s="1007">
        <v>60000</v>
      </c>
      <c r="H260" s="1007">
        <v>60000</v>
      </c>
      <c r="I260" s="1001"/>
      <c r="J260" s="1007"/>
      <c r="K260" s="1007">
        <f t="shared" si="79"/>
        <v>60000</v>
      </c>
    </row>
    <row r="261" spans="1:15" s="85" customFormat="1" ht="15" x14ac:dyDescent="0.25">
      <c r="A261" s="102"/>
      <c r="B261" s="200" t="s">
        <v>198</v>
      </c>
      <c r="C261" s="98"/>
      <c r="D261" s="195"/>
      <c r="E261" s="1021">
        <v>0</v>
      </c>
      <c r="F261" s="1007">
        <v>10580</v>
      </c>
      <c r="G261" s="1007">
        <v>10580</v>
      </c>
      <c r="H261" s="1007">
        <v>10580</v>
      </c>
      <c r="I261" s="1001"/>
      <c r="J261" s="1021"/>
      <c r="K261" s="1021">
        <f t="shared" si="79"/>
        <v>0</v>
      </c>
    </row>
    <row r="262" spans="1:15" s="85" customFormat="1" ht="15" x14ac:dyDescent="0.25">
      <c r="A262" s="102"/>
      <c r="B262" s="257"/>
      <c r="C262" s="98"/>
      <c r="D262" s="195"/>
      <c r="E262" s="195"/>
      <c r="F262" s="195"/>
      <c r="G262" s="195"/>
      <c r="H262" s="195"/>
      <c r="I262" s="196"/>
      <c r="J262" s="195"/>
      <c r="K262" s="195">
        <f t="shared" si="79"/>
        <v>0</v>
      </c>
    </row>
    <row r="263" spans="1:15" s="193" customFormat="1" ht="15" x14ac:dyDescent="0.25">
      <c r="A263" s="189" t="s">
        <v>305</v>
      </c>
      <c r="B263" s="253" t="s">
        <v>306</v>
      </c>
      <c r="C263" s="191"/>
      <c r="D263" s="192">
        <f t="shared" ref="D263:K263" si="88">SUM(D264:D264)</f>
        <v>2899</v>
      </c>
      <c r="E263" s="192">
        <f t="shared" si="88"/>
        <v>5300</v>
      </c>
      <c r="F263" s="192">
        <f t="shared" si="88"/>
        <v>9600</v>
      </c>
      <c r="G263" s="192">
        <f t="shared" si="88"/>
        <v>9600</v>
      </c>
      <c r="H263" s="192">
        <f t="shared" si="88"/>
        <v>9600</v>
      </c>
      <c r="I263" s="192">
        <f t="shared" si="88"/>
        <v>0</v>
      </c>
      <c r="J263" s="192">
        <f t="shared" si="88"/>
        <v>0</v>
      </c>
      <c r="K263" s="192">
        <f t="shared" si="88"/>
        <v>5300</v>
      </c>
      <c r="L263" s="115"/>
      <c r="M263" s="115"/>
      <c r="N263" s="115"/>
      <c r="O263" s="115"/>
    </row>
    <row r="264" spans="1:15" s="193" customFormat="1" ht="15" x14ac:dyDescent="0.25">
      <c r="A264" s="189"/>
      <c r="B264" s="254" t="s">
        <v>293</v>
      </c>
      <c r="C264" s="191" t="s">
        <v>307</v>
      </c>
      <c r="D264" s="192">
        <f>SUM(D265:D269)</f>
        <v>2899</v>
      </c>
      <c r="E264" s="192">
        <f>SUM(E265:E269)</f>
        <v>5300</v>
      </c>
      <c r="F264" s="192">
        <f t="shared" ref="F264:K264" si="89">SUM(F265:F269)</f>
        <v>9600</v>
      </c>
      <c r="G264" s="192">
        <f t="shared" si="89"/>
        <v>9600</v>
      </c>
      <c r="H264" s="192">
        <f t="shared" si="89"/>
        <v>9600</v>
      </c>
      <c r="I264" s="192">
        <f t="shared" si="89"/>
        <v>0</v>
      </c>
      <c r="J264" s="192">
        <f t="shared" si="89"/>
        <v>0</v>
      </c>
      <c r="K264" s="192">
        <f t="shared" si="89"/>
        <v>5300</v>
      </c>
      <c r="L264" s="115"/>
      <c r="M264" s="115"/>
      <c r="N264" s="115"/>
      <c r="O264" s="115"/>
    </row>
    <row r="265" spans="1:15" s="85" customFormat="1" x14ac:dyDescent="0.25">
      <c r="A265" s="102"/>
      <c r="B265" s="255" t="s">
        <v>299</v>
      </c>
      <c r="C265" s="98" t="s">
        <v>307</v>
      </c>
      <c r="D265" s="177">
        <v>133</v>
      </c>
      <c r="E265" s="1027">
        <v>1000</v>
      </c>
      <c r="F265" s="1025">
        <v>2400</v>
      </c>
      <c r="G265" s="1025">
        <v>2400</v>
      </c>
      <c r="H265" s="1025">
        <v>2400</v>
      </c>
      <c r="I265" s="1026"/>
      <c r="J265" s="1027"/>
      <c r="K265" s="1027">
        <f t="shared" si="79"/>
        <v>1000</v>
      </c>
    </row>
    <row r="266" spans="1:15" s="85" customFormat="1" ht="15" x14ac:dyDescent="0.25">
      <c r="A266" s="102"/>
      <c r="B266" s="240" t="s">
        <v>301</v>
      </c>
      <c r="C266" s="98" t="s">
        <v>307</v>
      </c>
      <c r="D266" s="195">
        <v>0</v>
      </c>
      <c r="E266" s="1007">
        <v>100</v>
      </c>
      <c r="F266" s="1007"/>
      <c r="G266" s="1007"/>
      <c r="H266" s="1028"/>
      <c r="I266" s="1001"/>
      <c r="J266" s="1007"/>
      <c r="K266" s="1007">
        <f t="shared" si="79"/>
        <v>100</v>
      </c>
    </row>
    <row r="267" spans="1:15" s="85" customFormat="1" ht="34.5" customHeight="1" x14ac:dyDescent="0.25">
      <c r="A267" s="102"/>
      <c r="B267" s="205" t="s">
        <v>308</v>
      </c>
      <c r="C267" s="98" t="s">
        <v>307</v>
      </c>
      <c r="D267" s="195">
        <v>1866</v>
      </c>
      <c r="E267" s="1029">
        <v>2500</v>
      </c>
      <c r="F267" s="1007">
        <v>5500</v>
      </c>
      <c r="G267" s="1007">
        <v>5500</v>
      </c>
      <c r="H267" s="1007">
        <v>5500</v>
      </c>
      <c r="I267" s="1001"/>
      <c r="J267" s="1029"/>
      <c r="K267" s="1029">
        <f t="shared" si="79"/>
        <v>2500</v>
      </c>
    </row>
    <row r="268" spans="1:15" s="85" customFormat="1" ht="15" x14ac:dyDescent="0.25">
      <c r="A268" s="102"/>
      <c r="B268" s="240" t="s">
        <v>300</v>
      </c>
      <c r="C268" s="98" t="s">
        <v>307</v>
      </c>
      <c r="D268" s="195">
        <v>900</v>
      </c>
      <c r="E268" s="1007">
        <v>1700</v>
      </c>
      <c r="F268" s="1007">
        <v>1700</v>
      </c>
      <c r="G268" s="1007">
        <v>1700</v>
      </c>
      <c r="H268" s="1007">
        <v>1700</v>
      </c>
      <c r="I268" s="1001"/>
      <c r="J268" s="1007"/>
      <c r="K268" s="1007">
        <f t="shared" si="79"/>
        <v>1700</v>
      </c>
    </row>
    <row r="269" spans="1:15" s="193" customFormat="1" ht="30" x14ac:dyDescent="0.25">
      <c r="A269" s="258"/>
      <c r="B269" s="213" t="s">
        <v>302</v>
      </c>
      <c r="C269" s="191" t="s">
        <v>307</v>
      </c>
      <c r="D269" s="192">
        <f t="shared" ref="D269:K269" si="90">SUM(D270:D279)</f>
        <v>0</v>
      </c>
      <c r="E269" s="192">
        <f t="shared" si="90"/>
        <v>0</v>
      </c>
      <c r="F269" s="192">
        <f t="shared" si="90"/>
        <v>0</v>
      </c>
      <c r="G269" s="192">
        <f t="shared" si="90"/>
        <v>0</v>
      </c>
      <c r="H269" s="192">
        <f t="shared" si="90"/>
        <v>0</v>
      </c>
      <c r="I269" s="192">
        <f t="shared" si="90"/>
        <v>0</v>
      </c>
      <c r="J269" s="192">
        <f t="shared" si="90"/>
        <v>0</v>
      </c>
      <c r="K269" s="192">
        <f t="shared" si="90"/>
        <v>0</v>
      </c>
      <c r="L269" s="115"/>
      <c r="M269" s="115"/>
      <c r="N269" s="115"/>
      <c r="O269" s="115"/>
    </row>
    <row r="270" spans="1:15" s="85" customFormat="1" ht="15" x14ac:dyDescent="0.25">
      <c r="A270" s="259"/>
      <c r="B270" s="200" t="s">
        <v>166</v>
      </c>
      <c r="C270" s="98"/>
      <c r="D270" s="195"/>
      <c r="E270" s="195"/>
      <c r="F270" s="195"/>
      <c r="G270" s="195"/>
      <c r="H270" s="195"/>
      <c r="I270" s="196"/>
      <c r="J270" s="195"/>
      <c r="K270" s="195">
        <f t="shared" si="79"/>
        <v>0</v>
      </c>
    </row>
    <row r="271" spans="1:15" s="85" customFormat="1" ht="15" x14ac:dyDescent="0.25">
      <c r="A271" s="259"/>
      <c r="B271" s="200" t="s">
        <v>303</v>
      </c>
      <c r="C271" s="98"/>
      <c r="D271" s="195"/>
      <c r="E271" s="195"/>
      <c r="F271" s="195"/>
      <c r="G271" s="195"/>
      <c r="H271" s="201"/>
      <c r="I271" s="196"/>
      <c r="J271" s="195"/>
      <c r="K271" s="195">
        <f t="shared" si="79"/>
        <v>0</v>
      </c>
      <c r="N271" s="106"/>
    </row>
    <row r="272" spans="1:15" s="85" customFormat="1" ht="15" x14ac:dyDescent="0.25">
      <c r="A272" s="259"/>
      <c r="B272" s="200" t="s">
        <v>168</v>
      </c>
      <c r="C272" s="98"/>
      <c r="D272" s="195"/>
      <c r="E272" s="195"/>
      <c r="F272" s="195"/>
      <c r="G272" s="195"/>
      <c r="H272" s="195"/>
      <c r="I272" s="196"/>
      <c r="J272" s="195"/>
      <c r="K272" s="195">
        <f t="shared" si="79"/>
        <v>0</v>
      </c>
    </row>
    <row r="273" spans="1:23" s="85" customFormat="1" ht="15" x14ac:dyDescent="0.25">
      <c r="A273" s="259"/>
      <c r="B273" s="200" t="s">
        <v>170</v>
      </c>
      <c r="C273" s="98"/>
      <c r="D273" s="195"/>
      <c r="E273" s="195"/>
      <c r="F273" s="195"/>
      <c r="G273" s="195"/>
      <c r="H273" s="195"/>
      <c r="I273" s="196"/>
      <c r="J273" s="195"/>
      <c r="K273" s="195">
        <f t="shared" si="79"/>
        <v>0</v>
      </c>
    </row>
    <row r="274" spans="1:23" s="85" customFormat="1" x14ac:dyDescent="0.25">
      <c r="A274" s="259"/>
      <c r="B274" s="200" t="s">
        <v>169</v>
      </c>
      <c r="C274" s="98"/>
      <c r="D274" s="177"/>
      <c r="E274" s="177"/>
      <c r="F274" s="177"/>
      <c r="G274" s="177"/>
      <c r="H274" s="256"/>
      <c r="I274" s="178"/>
      <c r="J274" s="177"/>
      <c r="K274" s="177">
        <f t="shared" si="79"/>
        <v>0</v>
      </c>
      <c r="L274" s="212"/>
      <c r="M274" s="212"/>
      <c r="N274" s="212"/>
      <c r="O274" s="212"/>
    </row>
    <row r="275" spans="1:23" s="85" customFormat="1" x14ac:dyDescent="0.25">
      <c r="A275" s="259"/>
      <c r="B275" s="200" t="s">
        <v>195</v>
      </c>
      <c r="C275" s="98"/>
      <c r="D275" s="177"/>
      <c r="E275" s="177"/>
      <c r="F275" s="177"/>
      <c r="G275" s="177"/>
      <c r="H275" s="177"/>
      <c r="I275" s="178"/>
      <c r="J275" s="177"/>
      <c r="K275" s="177">
        <f t="shared" si="79"/>
        <v>0</v>
      </c>
      <c r="L275" s="144"/>
      <c r="M275" s="144"/>
      <c r="N275" s="144"/>
      <c r="O275" s="144"/>
    </row>
    <row r="276" spans="1:23" s="85" customFormat="1" x14ac:dyDescent="0.25">
      <c r="A276" s="259"/>
      <c r="B276" s="200" t="s">
        <v>174</v>
      </c>
      <c r="C276" s="98"/>
      <c r="D276" s="177"/>
      <c r="E276" s="177"/>
      <c r="F276" s="177"/>
      <c r="G276" s="177"/>
      <c r="H276" s="177"/>
      <c r="I276" s="178"/>
      <c r="J276" s="177"/>
      <c r="K276" s="177">
        <f t="shared" si="79"/>
        <v>0</v>
      </c>
      <c r="L276" s="44" t="s">
        <v>309</v>
      </c>
      <c r="M276" s="44"/>
      <c r="N276" s="44"/>
      <c r="O276" s="44"/>
    </row>
    <row r="277" spans="1:23" s="85" customFormat="1" x14ac:dyDescent="0.25">
      <c r="A277" s="259"/>
      <c r="B277" s="200" t="s">
        <v>310</v>
      </c>
      <c r="C277" s="98"/>
      <c r="D277" s="177"/>
      <c r="E277" s="177"/>
      <c r="F277" s="177"/>
      <c r="G277" s="177"/>
      <c r="H277" s="177"/>
      <c r="I277" s="178"/>
      <c r="J277" s="177"/>
      <c r="K277" s="177">
        <f t="shared" si="79"/>
        <v>0</v>
      </c>
      <c r="L277" s="260">
        <f>E287+E289</f>
        <v>730400</v>
      </c>
      <c r="M277" s="260">
        <f>F287+F289</f>
        <v>870400</v>
      </c>
      <c r="N277" s="260">
        <f>G287+G289</f>
        <v>950400</v>
      </c>
      <c r="O277" s="260">
        <f>H287+H289</f>
        <v>1050400</v>
      </c>
      <c r="P277" s="261"/>
      <c r="Q277" s="261"/>
      <c r="R277" s="261"/>
      <c r="S277" s="261"/>
      <c r="T277" s="261"/>
      <c r="U277" s="261"/>
      <c r="V277" s="261"/>
      <c r="W277" s="261"/>
    </row>
    <row r="278" spans="1:23" s="85" customFormat="1" x14ac:dyDescent="0.25">
      <c r="A278" s="259"/>
      <c r="B278" s="200" t="s">
        <v>178</v>
      </c>
      <c r="C278" s="98"/>
      <c r="D278" s="177"/>
      <c r="E278" s="177"/>
      <c r="F278" s="177"/>
      <c r="G278" s="177"/>
      <c r="H278" s="177"/>
      <c r="I278" s="178"/>
      <c r="J278" s="177"/>
      <c r="K278" s="177">
        <f t="shared" si="79"/>
        <v>0</v>
      </c>
      <c r="L278" s="260">
        <f>E283+E285</f>
        <v>150000</v>
      </c>
      <c r="M278" s="260">
        <f>F283+F285</f>
        <v>150000</v>
      </c>
      <c r="N278" s="260">
        <f>G283+G285</f>
        <v>150000</v>
      </c>
      <c r="O278" s="260">
        <f>H283+H285</f>
        <v>150000</v>
      </c>
      <c r="P278" s="261"/>
      <c r="Q278" s="261"/>
      <c r="R278" s="261"/>
      <c r="S278" s="261"/>
      <c r="T278" s="261"/>
      <c r="U278" s="261"/>
      <c r="V278" s="261"/>
      <c r="W278" s="261"/>
    </row>
    <row r="279" spans="1:23" s="85" customFormat="1" ht="15" x14ac:dyDescent="0.25">
      <c r="A279" s="259"/>
      <c r="B279" s="200" t="s">
        <v>198</v>
      </c>
      <c r="C279" s="98"/>
      <c r="D279" s="195"/>
      <c r="E279" s="195"/>
      <c r="F279" s="195"/>
      <c r="G279" s="195"/>
      <c r="H279" s="195"/>
      <c r="I279" s="196"/>
      <c r="J279" s="195"/>
      <c r="K279" s="195">
        <f t="shared" si="79"/>
        <v>0</v>
      </c>
      <c r="L279" s="260"/>
      <c r="M279" s="260"/>
      <c r="N279" s="260"/>
      <c r="O279" s="260"/>
      <c r="P279" s="261"/>
      <c r="Q279" s="261"/>
      <c r="R279" s="261"/>
      <c r="S279" s="261"/>
      <c r="T279" s="261"/>
      <c r="U279" s="261"/>
      <c r="V279" s="261"/>
      <c r="W279" s="261"/>
    </row>
    <row r="280" spans="1:23" s="85" customFormat="1" x14ac:dyDescent="0.25">
      <c r="A280" s="259"/>
      <c r="B280" s="200"/>
      <c r="C280" s="98"/>
      <c r="D280" s="154"/>
      <c r="E280" s="154"/>
      <c r="F280" s="154"/>
      <c r="G280" s="154"/>
      <c r="H280" s="154"/>
      <c r="I280" s="155"/>
      <c r="J280" s="154"/>
      <c r="K280" s="154">
        <f t="shared" si="79"/>
        <v>0</v>
      </c>
      <c r="L280" s="262">
        <f>L277*0.001</f>
        <v>730.4</v>
      </c>
      <c r="M280" s="263"/>
      <c r="N280" s="44"/>
      <c r="O280" s="44"/>
    </row>
    <row r="281" spans="1:23" s="136" customFormat="1" x14ac:dyDescent="0.25">
      <c r="A281" s="109" t="s">
        <v>35</v>
      </c>
      <c r="B281" s="248" t="s">
        <v>311</v>
      </c>
      <c r="C281" s="133" t="s">
        <v>121</v>
      </c>
      <c r="D281" s="134">
        <f t="shared" ref="D281:K281" si="91">SUM(D283,D285,D287,D289)</f>
        <v>787474</v>
      </c>
      <c r="E281" s="134">
        <f t="shared" si="91"/>
        <v>880400</v>
      </c>
      <c r="F281" s="134">
        <f t="shared" si="91"/>
        <v>1020400</v>
      </c>
      <c r="G281" s="134">
        <f t="shared" si="91"/>
        <v>1100400</v>
      </c>
      <c r="H281" s="134">
        <f t="shared" si="91"/>
        <v>1200400</v>
      </c>
      <c r="I281" s="134">
        <f t="shared" si="91"/>
        <v>0</v>
      </c>
      <c r="J281" s="134">
        <f t="shared" si="91"/>
        <v>0</v>
      </c>
      <c r="K281" s="134">
        <f t="shared" si="91"/>
        <v>880400</v>
      </c>
      <c r="L281" s="264">
        <f>L278*0.005</f>
        <v>750</v>
      </c>
      <c r="M281" s="265"/>
      <c r="N281" s="265"/>
      <c r="O281" s="265"/>
      <c r="U281" s="136">
        <f>H287*0.025</f>
        <v>25619.5</v>
      </c>
      <c r="V281" s="136">
        <f>J287*0.025</f>
        <v>0</v>
      </c>
      <c r="W281" s="136">
        <f>K287*0.025</f>
        <v>17814.650000000001</v>
      </c>
    </row>
    <row r="282" spans="1:23" s="144" customFormat="1" x14ac:dyDescent="0.25">
      <c r="A282" s="137"/>
      <c r="B282" s="138" t="s">
        <v>312</v>
      </c>
      <c r="C282" s="162"/>
      <c r="D282" s="167"/>
      <c r="E282" s="167"/>
      <c r="F282" s="167"/>
      <c r="G282" s="167"/>
      <c r="H282" s="167"/>
      <c r="I282" s="164"/>
      <c r="J282" s="167"/>
      <c r="K282" s="167">
        <f t="shared" si="79"/>
        <v>0</v>
      </c>
      <c r="L282" s="262">
        <f>L281+L280</f>
        <v>1480.4</v>
      </c>
      <c r="M282" s="44"/>
      <c r="N282" s="81"/>
      <c r="O282" s="44"/>
    </row>
    <row r="283" spans="1:23" s="44" customFormat="1" ht="15" customHeight="1" x14ac:dyDescent="0.25">
      <c r="A283" s="259"/>
      <c r="B283" s="97" t="s">
        <v>313</v>
      </c>
      <c r="C283" s="266"/>
      <c r="D283" s="267">
        <v>119600</v>
      </c>
      <c r="E283" s="267">
        <v>146341</v>
      </c>
      <c r="F283" s="267">
        <v>146341</v>
      </c>
      <c r="G283" s="267">
        <v>146341</v>
      </c>
      <c r="H283" s="267">
        <v>146341</v>
      </c>
      <c r="I283" s="268"/>
      <c r="J283" s="267"/>
      <c r="K283" s="267">
        <f t="shared" si="79"/>
        <v>146341</v>
      </c>
      <c r="L283" s="262"/>
      <c r="N283" s="81"/>
    </row>
    <row r="284" spans="1:23" s="44" customFormat="1" ht="15.75" customHeight="1" x14ac:dyDescent="0.25">
      <c r="A284" s="259"/>
      <c r="B284" s="97"/>
      <c r="C284" s="266"/>
      <c r="D284" s="267"/>
      <c r="E284" s="267"/>
      <c r="F284" s="267"/>
      <c r="G284" s="267"/>
      <c r="H284" s="267"/>
      <c r="I284" s="268"/>
      <c r="J284" s="267"/>
      <c r="K284" s="267">
        <f t="shared" si="79"/>
        <v>0</v>
      </c>
      <c r="L284" s="262"/>
      <c r="N284" s="81"/>
    </row>
    <row r="285" spans="1:23" s="44" customFormat="1" ht="15" x14ac:dyDescent="0.25">
      <c r="A285" s="259"/>
      <c r="B285" s="97" t="s">
        <v>314</v>
      </c>
      <c r="C285" s="266"/>
      <c r="D285" s="267">
        <v>2990</v>
      </c>
      <c r="E285" s="1030">
        <v>3659</v>
      </c>
      <c r="F285" s="1030">
        <v>3659</v>
      </c>
      <c r="G285" s="1030">
        <v>3659</v>
      </c>
      <c r="H285" s="1030">
        <v>3659</v>
      </c>
      <c r="I285" s="1031">
        <f>I283*0.025</f>
        <v>0</v>
      </c>
      <c r="J285" s="1030"/>
      <c r="K285" s="1030">
        <f t="shared" ref="K285:K313" si="92">E285+J285</f>
        <v>3659</v>
      </c>
      <c r="M285" s="263"/>
      <c r="N285" s="81"/>
    </row>
    <row r="286" spans="1:23" s="44" customFormat="1" ht="15" x14ac:dyDescent="0.25">
      <c r="A286" s="259"/>
      <c r="B286" s="97"/>
      <c r="C286" s="266"/>
      <c r="D286" s="267"/>
      <c r="E286" s="1032"/>
      <c r="F286" s="1030"/>
      <c r="G286" s="1030"/>
      <c r="H286" s="1030"/>
      <c r="I286" s="1031"/>
      <c r="J286" s="1032"/>
      <c r="K286" s="1032">
        <f t="shared" si="92"/>
        <v>0</v>
      </c>
    </row>
    <row r="287" spans="1:23" s="44" customFormat="1" ht="15" x14ac:dyDescent="0.25">
      <c r="A287" s="259"/>
      <c r="B287" s="97" t="s">
        <v>315</v>
      </c>
      <c r="C287" s="266"/>
      <c r="D287" s="267">
        <v>648667</v>
      </c>
      <c r="E287" s="1032">
        <v>712586</v>
      </c>
      <c r="F287" s="1030">
        <v>849170</v>
      </c>
      <c r="G287" s="1030">
        <v>927220</v>
      </c>
      <c r="H287" s="1030">
        <v>1024780</v>
      </c>
      <c r="I287" s="1031"/>
      <c r="J287" s="1032"/>
      <c r="K287" s="1032">
        <f t="shared" si="92"/>
        <v>712586</v>
      </c>
      <c r="L287" s="270" t="s">
        <v>316</v>
      </c>
      <c r="M287" s="271" t="e">
        <f>"$#ODWOŁANIE$#ODWOŁANIE"*0.025</f>
        <v>#VALUE!</v>
      </c>
      <c r="N287" s="271"/>
      <c r="O287" s="271">
        <f>F283*0.025</f>
        <v>3658.5250000000001</v>
      </c>
      <c r="P287" s="271">
        <f>G283*0.025</f>
        <v>3658.5250000000001</v>
      </c>
      <c r="Q287" s="272">
        <f>H283*0.025</f>
        <v>3658.5250000000001</v>
      </c>
    </row>
    <row r="288" spans="1:23" s="144" customFormat="1" x14ac:dyDescent="0.25">
      <c r="A288" s="137"/>
      <c r="B288" s="257"/>
      <c r="C288" s="98"/>
      <c r="D288" s="273"/>
      <c r="E288" s="1033"/>
      <c r="F288" s="1034"/>
      <c r="G288" s="1034"/>
      <c r="H288" s="1034"/>
      <c r="I288" s="1035"/>
      <c r="J288" s="1033"/>
      <c r="K288" s="1033">
        <f t="shared" si="92"/>
        <v>0</v>
      </c>
      <c r="L288" s="276"/>
      <c r="M288" s="277" t="e">
        <f>"$#ODWOŁANIE$#ODWOŁANIE"*0.025</f>
        <v>#VALUE!</v>
      </c>
      <c r="N288" s="277"/>
      <c r="O288" s="277">
        <f>F287*0.025</f>
        <v>21229.25</v>
      </c>
      <c r="P288" s="277">
        <f>G287*0.025</f>
        <v>23180.5</v>
      </c>
      <c r="Q288" s="278">
        <f>H287*0.025</f>
        <v>25619.5</v>
      </c>
      <c r="U288" s="144">
        <f>H287*0.025</f>
        <v>25619.5</v>
      </c>
    </row>
    <row r="289" spans="1:19" s="44" customFormat="1" x14ac:dyDescent="0.25">
      <c r="A289" s="259"/>
      <c r="B289" s="97" t="s">
        <v>317</v>
      </c>
      <c r="C289" s="266"/>
      <c r="D289" s="267">
        <v>16217</v>
      </c>
      <c r="E289" s="1032">
        <v>17814</v>
      </c>
      <c r="F289" s="1030">
        <v>21230</v>
      </c>
      <c r="G289" s="1030">
        <v>23180</v>
      </c>
      <c r="H289" s="1030">
        <v>25620</v>
      </c>
      <c r="I289" s="1031">
        <f>I287*0.025</f>
        <v>0</v>
      </c>
      <c r="J289" s="1032"/>
      <c r="K289" s="1032">
        <f t="shared" si="92"/>
        <v>17814</v>
      </c>
      <c r="L289" s="74"/>
      <c r="M289" s="74"/>
      <c r="N289" s="74"/>
      <c r="O289" s="279"/>
    </row>
    <row r="290" spans="1:19" s="44" customFormat="1" ht="15" x14ac:dyDescent="0.25">
      <c r="A290" s="259"/>
      <c r="B290" s="97"/>
      <c r="C290" s="266"/>
      <c r="D290" s="267"/>
      <c r="E290" s="267"/>
      <c r="F290" s="267"/>
      <c r="G290" s="267"/>
      <c r="H290" s="267"/>
      <c r="I290" s="268"/>
      <c r="J290" s="267"/>
      <c r="K290" s="267">
        <f t="shared" si="92"/>
        <v>0</v>
      </c>
      <c r="L290" s="280"/>
      <c r="M290" s="280"/>
      <c r="N290" s="280"/>
      <c r="O290" s="280"/>
    </row>
    <row r="291" spans="1:19" s="285" customFormat="1" x14ac:dyDescent="0.25">
      <c r="A291" s="281" t="s">
        <v>37</v>
      </c>
      <c r="B291" s="282" t="s">
        <v>79</v>
      </c>
      <c r="C291" s="283" t="s">
        <v>87</v>
      </c>
      <c r="D291" s="284">
        <f t="shared" ref="D291:K291" si="93">SUM(D293:D294)</f>
        <v>1964</v>
      </c>
      <c r="E291" s="284">
        <f t="shared" si="93"/>
        <v>3283</v>
      </c>
      <c r="F291" s="284">
        <f t="shared" si="93"/>
        <v>1869</v>
      </c>
      <c r="G291" s="284">
        <f t="shared" si="93"/>
        <v>350</v>
      </c>
      <c r="H291" s="284">
        <f t="shared" si="93"/>
        <v>350</v>
      </c>
      <c r="I291" s="284">
        <f t="shared" si="93"/>
        <v>0</v>
      </c>
      <c r="J291" s="284">
        <f t="shared" si="93"/>
        <v>0</v>
      </c>
      <c r="K291" s="284">
        <f t="shared" si="93"/>
        <v>3283</v>
      </c>
      <c r="L291" s="114"/>
      <c r="M291" s="115"/>
      <c r="N291" s="115"/>
      <c r="O291" s="114"/>
    </row>
    <row r="292" spans="1:19" s="44" customFormat="1" x14ac:dyDescent="0.25">
      <c r="A292" s="137"/>
      <c r="B292" s="138" t="s">
        <v>318</v>
      </c>
      <c r="C292" s="162"/>
      <c r="D292" s="177"/>
      <c r="E292" s="177"/>
      <c r="F292" s="177"/>
      <c r="G292" s="177"/>
      <c r="H292" s="177"/>
      <c r="I292" s="178"/>
      <c r="J292" s="177"/>
      <c r="K292" s="177">
        <f t="shared" si="92"/>
        <v>0</v>
      </c>
      <c r="L292" s="85"/>
      <c r="M292" s="85"/>
      <c r="N292" s="85"/>
      <c r="O292" s="85"/>
    </row>
    <row r="293" spans="1:19" s="44" customFormat="1" x14ac:dyDescent="0.25">
      <c r="A293" s="137"/>
      <c r="B293" s="138" t="s">
        <v>319</v>
      </c>
      <c r="C293" s="98" t="s">
        <v>141</v>
      </c>
      <c r="D293" s="177">
        <v>534</v>
      </c>
      <c r="E293" s="177">
        <v>350</v>
      </c>
      <c r="F293" s="177">
        <v>350</v>
      </c>
      <c r="G293" s="177">
        <v>350</v>
      </c>
      <c r="H293" s="177">
        <v>350</v>
      </c>
      <c r="I293" s="178"/>
      <c r="J293" s="177"/>
      <c r="K293" s="177">
        <f t="shared" si="92"/>
        <v>350</v>
      </c>
      <c r="L293" s="85"/>
      <c r="M293" s="85"/>
      <c r="N293" s="85"/>
      <c r="O293" s="81" t="s">
        <v>320</v>
      </c>
    </row>
    <row r="294" spans="1:19" s="44" customFormat="1" x14ac:dyDescent="0.25">
      <c r="A294" s="137"/>
      <c r="B294" s="138" t="s">
        <v>321</v>
      </c>
      <c r="C294" s="98" t="s">
        <v>322</v>
      </c>
      <c r="D294" s="177">
        <v>1430</v>
      </c>
      <c r="E294" s="177">
        <v>2933</v>
      </c>
      <c r="F294" s="177">
        <v>1519</v>
      </c>
      <c r="G294" s="177">
        <v>0</v>
      </c>
      <c r="H294" s="177">
        <v>0</v>
      </c>
      <c r="I294" s="178"/>
      <c r="J294" s="177"/>
      <c r="K294" s="177">
        <f t="shared" si="92"/>
        <v>2933</v>
      </c>
      <c r="L294" s="85"/>
      <c r="M294" s="81"/>
      <c r="N294" s="85"/>
      <c r="O294" s="85"/>
    </row>
    <row r="295" spans="1:19" s="44" customFormat="1" ht="12.75" customHeight="1" x14ac:dyDescent="0.25">
      <c r="A295" s="137"/>
      <c r="B295" s="168"/>
      <c r="C295" s="162"/>
      <c r="D295" s="177"/>
      <c r="E295" s="177"/>
      <c r="F295" s="177"/>
      <c r="G295" s="177"/>
      <c r="H295" s="177"/>
      <c r="I295" s="286"/>
      <c r="J295" s="177"/>
      <c r="K295" s="177">
        <f t="shared" si="92"/>
        <v>0</v>
      </c>
      <c r="L295" s="287" t="s">
        <v>323</v>
      </c>
      <c r="M295" s="288"/>
      <c r="N295" s="288"/>
      <c r="O295" s="288"/>
      <c r="P295" s="289"/>
    </row>
    <row r="296" spans="1:19" s="95" customFormat="1" x14ac:dyDescent="0.25">
      <c r="A296" s="89" t="s">
        <v>324</v>
      </c>
      <c r="B296" s="90" t="s">
        <v>325</v>
      </c>
      <c r="C296" s="91" t="s">
        <v>87</v>
      </c>
      <c r="D296" s="92" t="e">
        <f t="shared" ref="D296:I296" si="94">(D68+D87-D110)+D56</f>
        <v>#REF!</v>
      </c>
      <c r="E296" s="92">
        <f t="shared" si="94"/>
        <v>304373</v>
      </c>
      <c r="F296" s="92">
        <f t="shared" si="94"/>
        <v>308634</v>
      </c>
      <c r="G296" s="92">
        <f t="shared" si="94"/>
        <v>362263</v>
      </c>
      <c r="H296" s="92">
        <f t="shared" si="94"/>
        <v>372641</v>
      </c>
      <c r="I296" s="290" t="e">
        <f t="shared" si="94"/>
        <v>#VALUE!</v>
      </c>
      <c r="J296" s="92"/>
      <c r="K296" s="92">
        <f t="shared" si="92"/>
        <v>304373</v>
      </c>
      <c r="L296" s="291">
        <f>E296-E297</f>
        <v>0</v>
      </c>
      <c r="M296" s="291" t="e">
        <f>D296-D297</f>
        <v>#REF!</v>
      </c>
      <c r="N296" s="291">
        <f>F296-F297</f>
        <v>22824</v>
      </c>
      <c r="O296" s="292">
        <f>G296-G297</f>
        <v>24525</v>
      </c>
      <c r="P296" s="293">
        <f>H296-H297</f>
        <v>27312</v>
      </c>
    </row>
    <row r="297" spans="1:19" s="81" customFormat="1" ht="20.25" customHeight="1" x14ac:dyDescent="0.25">
      <c r="A297" s="96"/>
      <c r="B297" s="97" t="s">
        <v>88</v>
      </c>
      <c r="C297" s="98"/>
      <c r="D297" s="195">
        <f t="shared" ref="D297:I297" si="95">SUM(D298:D301,D304)+SUM(D308:D313)</f>
        <v>560105</v>
      </c>
      <c r="E297" s="1041">
        <f t="shared" si="95"/>
        <v>304373</v>
      </c>
      <c r="F297" s="1041">
        <f t="shared" si="95"/>
        <v>285810</v>
      </c>
      <c r="G297" s="1041">
        <f t="shared" si="95"/>
        <v>337738</v>
      </c>
      <c r="H297" s="1041">
        <f t="shared" si="95"/>
        <v>345329</v>
      </c>
      <c r="I297" s="1042">
        <f t="shared" si="95"/>
        <v>0</v>
      </c>
      <c r="J297" s="1041"/>
      <c r="K297" s="1041">
        <f t="shared" si="92"/>
        <v>304373</v>
      </c>
      <c r="L297" s="1012" t="s">
        <v>326</v>
      </c>
      <c r="M297" s="1013">
        <v>2013</v>
      </c>
      <c r="N297" s="1014">
        <v>2014</v>
      </c>
      <c r="O297" s="1014">
        <v>2015</v>
      </c>
      <c r="P297" s="1015">
        <v>2016</v>
      </c>
      <c r="R297" s="280"/>
    </row>
    <row r="298" spans="1:19" s="85" customFormat="1" ht="15.75" customHeight="1" x14ac:dyDescent="0.25">
      <c r="A298" s="102" t="s">
        <v>19</v>
      </c>
      <c r="B298" s="294" t="s">
        <v>327</v>
      </c>
      <c r="C298" s="98" t="s">
        <v>87</v>
      </c>
      <c r="D298" s="295">
        <f>507391+44572</f>
        <v>551963</v>
      </c>
      <c r="E298" s="1036">
        <f>311740</f>
        <v>311740</v>
      </c>
      <c r="F298" s="1036">
        <f>285134+26000</f>
        <v>311134</v>
      </c>
      <c r="G298" s="1036">
        <f>352419+26000</f>
        <v>378419</v>
      </c>
      <c r="H298" s="1036">
        <f>372870+26000</f>
        <v>398870</v>
      </c>
      <c r="I298" s="1037" t="str">
        <f t="shared" ref="I298:I314" si="96">"$#ODWOŁANIE$#ODWOŁANIE"</f>
        <v>$#ODWOŁANIE$#ODWOŁANIE</v>
      </c>
      <c r="J298" s="1036"/>
      <c r="K298" s="1036">
        <f t="shared" si="92"/>
        <v>311740</v>
      </c>
    </row>
    <row r="299" spans="1:19" s="85" customFormat="1" ht="15.75" customHeight="1" x14ac:dyDescent="0.25">
      <c r="A299" s="102" t="s">
        <v>23</v>
      </c>
      <c r="B299" s="107" t="s">
        <v>90</v>
      </c>
      <c r="C299" s="98" t="s">
        <v>87</v>
      </c>
      <c r="D299" s="104">
        <v>0</v>
      </c>
      <c r="E299" s="1038">
        <v>0</v>
      </c>
      <c r="F299" s="1038">
        <v>0</v>
      </c>
      <c r="G299" s="1038">
        <v>0</v>
      </c>
      <c r="H299" s="1038">
        <v>0</v>
      </c>
      <c r="I299" s="1037" t="str">
        <f t="shared" si="96"/>
        <v>$#ODWOŁANIE$#ODWOŁANIE</v>
      </c>
      <c r="J299" s="1038"/>
      <c r="K299" s="1038">
        <f t="shared" si="92"/>
        <v>0</v>
      </c>
    </row>
    <row r="300" spans="1:19" s="85" customFormat="1" ht="15.75" customHeight="1" x14ac:dyDescent="0.25">
      <c r="A300" s="102" t="s">
        <v>27</v>
      </c>
      <c r="B300" s="103" t="s">
        <v>91</v>
      </c>
      <c r="C300" s="98" t="s">
        <v>87</v>
      </c>
      <c r="D300" s="104">
        <v>0</v>
      </c>
      <c r="E300" s="104">
        <v>0</v>
      </c>
      <c r="F300" s="104">
        <v>0</v>
      </c>
      <c r="G300" s="104">
        <v>0</v>
      </c>
      <c r="H300" s="104">
        <v>0</v>
      </c>
      <c r="I300" s="105" t="str">
        <f t="shared" si="96"/>
        <v>$#ODWOŁANIE$#ODWOŁANIE</v>
      </c>
      <c r="J300" s="104"/>
      <c r="K300" s="104">
        <f t="shared" si="92"/>
        <v>0</v>
      </c>
    </row>
    <row r="301" spans="1:19" s="85" customFormat="1" ht="15.75" customHeight="1" x14ac:dyDescent="0.25">
      <c r="A301" s="102" t="s">
        <v>29</v>
      </c>
      <c r="B301" s="107" t="s">
        <v>92</v>
      </c>
      <c r="C301" s="98" t="s">
        <v>87</v>
      </c>
      <c r="D301" s="99">
        <v>801518</v>
      </c>
      <c r="E301" s="99">
        <v>770240</v>
      </c>
      <c r="F301" s="99">
        <v>769173</v>
      </c>
      <c r="G301" s="99">
        <v>777744</v>
      </c>
      <c r="H301" s="99">
        <v>776865</v>
      </c>
      <c r="I301" s="105" t="str">
        <f t="shared" si="96"/>
        <v>$#ODWOŁANIE$#ODWOŁANIE</v>
      </c>
      <c r="J301" s="99"/>
      <c r="K301" s="99">
        <f t="shared" si="92"/>
        <v>770240</v>
      </c>
      <c r="L301" s="81"/>
      <c r="M301" s="296"/>
      <c r="N301" s="81"/>
      <c r="O301" s="81"/>
    </row>
    <row r="302" spans="1:19" s="85" customFormat="1" ht="15.75" customHeight="1" x14ac:dyDescent="0.25">
      <c r="A302" s="102"/>
      <c r="B302" s="108" t="s">
        <v>94</v>
      </c>
      <c r="C302" s="98" t="s">
        <v>87</v>
      </c>
      <c r="D302" s="104">
        <v>640000</v>
      </c>
      <c r="E302" s="104">
        <v>610000</v>
      </c>
      <c r="F302" s="104">
        <v>610000</v>
      </c>
      <c r="G302" s="104">
        <v>620000</v>
      </c>
      <c r="H302" s="104">
        <v>620000</v>
      </c>
      <c r="I302" s="105" t="str">
        <f t="shared" si="96"/>
        <v>$#ODWOŁANIE$#ODWOŁANIE</v>
      </c>
      <c r="J302" s="104"/>
      <c r="K302" s="104">
        <f t="shared" si="92"/>
        <v>610000</v>
      </c>
      <c r="L302" s="81"/>
      <c r="M302" s="81"/>
      <c r="N302" s="81"/>
      <c r="O302" s="81"/>
    </row>
    <row r="303" spans="1:19" s="85" customFormat="1" ht="15.75" customHeight="1" x14ac:dyDescent="0.25">
      <c r="A303" s="102"/>
      <c r="B303" s="108" t="s">
        <v>96</v>
      </c>
      <c r="C303" s="98" t="s">
        <v>87</v>
      </c>
      <c r="D303" s="104">
        <v>4696</v>
      </c>
      <c r="E303" s="104">
        <v>4644</v>
      </c>
      <c r="F303" s="104">
        <v>4666</v>
      </c>
      <c r="G303" s="104">
        <v>4527</v>
      </c>
      <c r="H303" s="104">
        <v>4636</v>
      </c>
      <c r="I303" s="105" t="str">
        <f t="shared" si="96"/>
        <v>$#ODWOŁANIE$#ODWOŁANIE</v>
      </c>
      <c r="J303" s="104"/>
      <c r="K303" s="104">
        <f t="shared" si="92"/>
        <v>4644</v>
      </c>
      <c r="Q303" s="297"/>
    </row>
    <row r="304" spans="1:19" s="85" customFormat="1" ht="15.75" customHeight="1" x14ac:dyDescent="0.25">
      <c r="A304" s="298" t="s">
        <v>31</v>
      </c>
      <c r="B304" s="299" t="s">
        <v>97</v>
      </c>
      <c r="C304" s="300" t="s">
        <v>87</v>
      </c>
      <c r="D304" s="301">
        <v>-65650</v>
      </c>
      <c r="E304" s="301">
        <v>-69559</v>
      </c>
      <c r="F304" s="301">
        <v>-64356</v>
      </c>
      <c r="G304" s="301">
        <v>-64139</v>
      </c>
      <c r="H304" s="301">
        <v>-64110</v>
      </c>
      <c r="I304" s="302" t="str">
        <f t="shared" si="96"/>
        <v>$#ODWOŁANIE$#ODWOŁANIE</v>
      </c>
      <c r="J304" s="301"/>
      <c r="K304" s="301">
        <f t="shared" si="92"/>
        <v>-69559</v>
      </c>
      <c r="R304" s="106"/>
      <c r="S304" s="106"/>
    </row>
    <row r="305" spans="1:15" s="85" customFormat="1" ht="15.75" customHeight="1" x14ac:dyDescent="0.25">
      <c r="A305" s="298" t="s">
        <v>33</v>
      </c>
      <c r="B305" s="299" t="s">
        <v>328</v>
      </c>
      <c r="C305" s="300" t="s">
        <v>87</v>
      </c>
      <c r="D305" s="301">
        <v>-65650</v>
      </c>
      <c r="E305" s="301">
        <f>E304</f>
        <v>-69559</v>
      </c>
      <c r="F305" s="301">
        <f>F304</f>
        <v>-64356</v>
      </c>
      <c r="G305" s="301">
        <f>G304</f>
        <v>-64139</v>
      </c>
      <c r="H305" s="301">
        <f>H304</f>
        <v>-64110</v>
      </c>
      <c r="I305" s="302" t="str">
        <f t="shared" si="96"/>
        <v>$#ODWOŁANIE$#ODWOŁANIE</v>
      </c>
      <c r="J305" s="301"/>
      <c r="K305" s="301">
        <f t="shared" si="92"/>
        <v>-69559</v>
      </c>
    </row>
    <row r="306" spans="1:15" s="85" customFormat="1" ht="15" x14ac:dyDescent="0.25">
      <c r="A306" s="102" t="s">
        <v>99</v>
      </c>
      <c r="B306" s="116" t="s">
        <v>656</v>
      </c>
      <c r="C306" s="98" t="s">
        <v>87</v>
      </c>
      <c r="D306" s="99">
        <v>0</v>
      </c>
      <c r="E306" s="99">
        <v>0</v>
      </c>
      <c r="F306" s="99"/>
      <c r="G306" s="99"/>
      <c r="H306" s="99"/>
      <c r="I306" s="105" t="str">
        <f t="shared" si="96"/>
        <v>$#ODWOŁANIE$#ODWOŁANIE</v>
      </c>
      <c r="J306" s="99"/>
      <c r="K306" s="99">
        <f t="shared" si="92"/>
        <v>0</v>
      </c>
      <c r="L306" s="106"/>
    </row>
    <row r="307" spans="1:15" s="85" customFormat="1" x14ac:dyDescent="0.25">
      <c r="A307" s="102" t="s">
        <v>100</v>
      </c>
      <c r="B307" s="116" t="s">
        <v>657</v>
      </c>
      <c r="C307" s="98" t="s">
        <v>87</v>
      </c>
      <c r="D307" s="301">
        <v>-65650</v>
      </c>
      <c r="E307" s="204">
        <f>E304</f>
        <v>-69559</v>
      </c>
      <c r="F307" s="204">
        <f>F304</f>
        <v>-64356</v>
      </c>
      <c r="G307" s="204">
        <f>G304</f>
        <v>-64139</v>
      </c>
      <c r="H307" s="204">
        <f>H304</f>
        <v>-64110</v>
      </c>
      <c r="I307" s="105" t="str">
        <f t="shared" si="96"/>
        <v>$#ODWOŁANIE$#ODWOŁANIE</v>
      </c>
      <c r="J307" s="204"/>
      <c r="K307" s="204">
        <f t="shared" si="92"/>
        <v>-69559</v>
      </c>
      <c r="L307" s="5"/>
      <c r="M307" s="5"/>
      <c r="N307" s="5"/>
      <c r="O307" s="5"/>
    </row>
    <row r="308" spans="1:15" s="81" customFormat="1" ht="15" x14ac:dyDescent="0.25">
      <c r="A308" s="102" t="s">
        <v>35</v>
      </c>
      <c r="B308" s="103" t="s">
        <v>102</v>
      </c>
      <c r="C308" s="98" t="s">
        <v>87</v>
      </c>
      <c r="D308" s="104">
        <v>23014</v>
      </c>
      <c r="E308" s="104">
        <v>24034</v>
      </c>
      <c r="F308" s="104">
        <v>23028</v>
      </c>
      <c r="G308" s="104">
        <v>21021</v>
      </c>
      <c r="H308" s="104">
        <v>20016</v>
      </c>
      <c r="I308" s="105" t="str">
        <f t="shared" si="96"/>
        <v>$#ODWOŁANIE$#ODWOŁANIE</v>
      </c>
      <c r="J308" s="104"/>
      <c r="K308" s="104">
        <f t="shared" si="92"/>
        <v>24034</v>
      </c>
      <c r="L308" s="303">
        <f>E316-E340+E70</f>
        <v>311740.15000000037</v>
      </c>
      <c r="M308" s="303">
        <f>F316-F340+F70</f>
        <v>311134.15000000037</v>
      </c>
      <c r="N308" s="303">
        <f>G316-G340+G70</f>
        <v>378418.5</v>
      </c>
      <c r="O308" s="303">
        <f>H316-H340+H70</f>
        <v>398870</v>
      </c>
    </row>
    <row r="309" spans="1:15" s="81" customFormat="1" ht="15.75" customHeight="1" x14ac:dyDescent="0.25">
      <c r="A309" s="102" t="s">
        <v>37</v>
      </c>
      <c r="B309" s="103" t="s">
        <v>103</v>
      </c>
      <c r="C309" s="98" t="s">
        <v>87</v>
      </c>
      <c r="D309" s="104">
        <v>35844</v>
      </c>
      <c r="E309" s="104">
        <v>36479</v>
      </c>
      <c r="F309" s="104">
        <v>35062</v>
      </c>
      <c r="G309" s="104">
        <v>32803</v>
      </c>
      <c r="H309" s="104">
        <v>31631</v>
      </c>
      <c r="I309" s="105" t="str">
        <f t="shared" si="96"/>
        <v>$#ODWOŁANIE$#ODWOŁANIE</v>
      </c>
      <c r="J309" s="104"/>
      <c r="K309" s="104">
        <f t="shared" si="92"/>
        <v>36479</v>
      </c>
      <c r="L309" s="5"/>
      <c r="M309" s="5"/>
      <c r="N309" s="5"/>
      <c r="O309" s="5"/>
    </row>
    <row r="310" spans="1:15" s="85" customFormat="1" ht="15.75" customHeight="1" x14ac:dyDescent="0.25">
      <c r="A310" s="102" t="s">
        <v>41</v>
      </c>
      <c r="B310" s="107" t="s">
        <v>104</v>
      </c>
      <c r="C310" s="98" t="s">
        <v>87</v>
      </c>
      <c r="D310" s="104">
        <v>-4750</v>
      </c>
      <c r="E310" s="104">
        <v>-4750</v>
      </c>
      <c r="F310" s="104">
        <v>-4875</v>
      </c>
      <c r="G310" s="104">
        <v>-4850</v>
      </c>
      <c r="H310" s="104">
        <v>-4775</v>
      </c>
      <c r="I310" s="105" t="str">
        <f t="shared" si="96"/>
        <v>$#ODWOŁANIE$#ODWOŁANIE</v>
      </c>
      <c r="J310" s="104"/>
      <c r="K310" s="104">
        <f t="shared" si="92"/>
        <v>-4750</v>
      </c>
      <c r="L310" s="232"/>
      <c r="M310" s="5"/>
      <c r="N310" s="5"/>
      <c r="O310" s="5"/>
    </row>
    <row r="311" spans="1:15" s="85" customFormat="1" ht="15.75" customHeight="1" x14ac:dyDescent="0.25">
      <c r="A311" s="102" t="s">
        <v>44</v>
      </c>
      <c r="B311" s="107" t="s">
        <v>105</v>
      </c>
      <c r="C311" s="98" t="s">
        <v>87</v>
      </c>
      <c r="D311" s="104">
        <v>0</v>
      </c>
      <c r="E311" s="104">
        <v>0</v>
      </c>
      <c r="F311" s="104"/>
      <c r="G311" s="104"/>
      <c r="H311" s="104"/>
      <c r="I311" s="105" t="str">
        <f t="shared" si="96"/>
        <v>$#ODWOŁANIE$#ODWOŁANIE</v>
      </c>
      <c r="J311" s="104"/>
      <c r="K311" s="104">
        <f t="shared" si="92"/>
        <v>0</v>
      </c>
      <c r="L311" s="232"/>
      <c r="M311" s="5"/>
      <c r="N311" s="5"/>
      <c r="O311" s="5"/>
    </row>
    <row r="312" spans="1:15" s="85" customFormat="1" ht="15.75" customHeight="1" x14ac:dyDescent="0.25">
      <c r="A312" s="102" t="s">
        <v>48</v>
      </c>
      <c r="B312" s="107" t="s">
        <v>106</v>
      </c>
      <c r="C312" s="98" t="s">
        <v>87</v>
      </c>
      <c r="D312" s="304">
        <v>-778534</v>
      </c>
      <c r="E312" s="1039">
        <f>-777362+16801</f>
        <v>-760561</v>
      </c>
      <c r="F312" s="1039">
        <f>-796957+16801</f>
        <v>-780156</v>
      </c>
      <c r="G312" s="1039">
        <f>-816811+16801</f>
        <v>-800010</v>
      </c>
      <c r="H312" s="1039">
        <f>-826669+16801</f>
        <v>-809868</v>
      </c>
      <c r="I312" s="1037" t="str">
        <f t="shared" si="96"/>
        <v>$#ODWOŁANIE$#ODWOŁANIE</v>
      </c>
      <c r="J312" s="1039"/>
      <c r="K312" s="1039">
        <f t="shared" si="92"/>
        <v>-760561</v>
      </c>
      <c r="L312" s="232"/>
      <c r="M312" s="5"/>
      <c r="N312" s="5"/>
      <c r="O312" s="5"/>
    </row>
    <row r="313" spans="1:15" s="85" customFormat="1" ht="15.75" customHeight="1" x14ac:dyDescent="0.25">
      <c r="A313" s="102" t="s">
        <v>50</v>
      </c>
      <c r="B313" s="107" t="s">
        <v>107</v>
      </c>
      <c r="C313" s="98" t="s">
        <v>87</v>
      </c>
      <c r="D313" s="104">
        <v>-3300</v>
      </c>
      <c r="E313" s="104">
        <v>-3250</v>
      </c>
      <c r="F313" s="104">
        <v>-3200</v>
      </c>
      <c r="G313" s="104">
        <v>-3250</v>
      </c>
      <c r="H313" s="104">
        <v>-3300</v>
      </c>
      <c r="I313" s="105" t="str">
        <f t="shared" si="96"/>
        <v>$#ODWOŁANIE$#ODWOŁANIE</v>
      </c>
      <c r="J313" s="104"/>
      <c r="K313" s="104">
        <f t="shared" si="92"/>
        <v>-3250</v>
      </c>
      <c r="L313" s="232"/>
      <c r="M313" s="5"/>
      <c r="N313" s="5"/>
      <c r="O313" s="5"/>
    </row>
    <row r="314" spans="1:15" ht="15.75" customHeight="1" thickBot="1" x14ac:dyDescent="0.3">
      <c r="A314" s="305"/>
      <c r="B314" s="306"/>
      <c r="C314" s="307"/>
      <c r="D314" s="308"/>
      <c r="E314" s="1040"/>
      <c r="F314" s="1040"/>
      <c r="G314" s="1040"/>
      <c r="H314" s="309"/>
      <c r="I314" s="310" t="str">
        <f t="shared" si="96"/>
        <v>$#ODWOŁANIE$#ODWOŁANIE</v>
      </c>
      <c r="J314" s="1040"/>
      <c r="K314" s="1040"/>
    </row>
    <row r="315" spans="1:15" ht="19.5" hidden="1" thickBot="1" x14ac:dyDescent="0.35">
      <c r="A315" s="311" t="s">
        <v>329</v>
      </c>
      <c r="B315" s="312"/>
      <c r="C315" s="313"/>
      <c r="D315" s="314"/>
      <c r="E315" s="314"/>
      <c r="F315" s="314"/>
      <c r="G315" s="314"/>
      <c r="H315" s="314"/>
      <c r="J315" s="314"/>
      <c r="K315" s="314"/>
    </row>
    <row r="316" spans="1:15" s="320" customFormat="1" hidden="1" x14ac:dyDescent="0.25">
      <c r="A316" s="315" t="s">
        <v>15</v>
      </c>
      <c r="B316" s="316" t="s">
        <v>330</v>
      </c>
      <c r="C316" s="317" t="s">
        <v>87</v>
      </c>
      <c r="D316" s="318">
        <f t="shared" ref="D316:I316" si="97">SUM(D318,D324,D326,D328,D330)</f>
        <v>4580145</v>
      </c>
      <c r="E316" s="318">
        <f t="shared" si="97"/>
        <v>4556729.1500000004</v>
      </c>
      <c r="F316" s="318">
        <f t="shared" si="97"/>
        <v>4792167.1500000004</v>
      </c>
      <c r="G316" s="318">
        <f t="shared" si="97"/>
        <v>4968587.5</v>
      </c>
      <c r="H316" s="318">
        <f t="shared" si="97"/>
        <v>5066941</v>
      </c>
      <c r="I316" s="319">
        <f t="shared" si="97"/>
        <v>4885370</v>
      </c>
      <c r="J316" s="318"/>
      <c r="K316" s="318"/>
    </row>
    <row r="317" spans="1:15" s="131" customFormat="1" ht="9.9499999999999993" hidden="1" customHeight="1" x14ac:dyDescent="0.15">
      <c r="A317" s="126"/>
      <c r="B317" s="127"/>
      <c r="C317" s="128"/>
      <c r="D317" s="321"/>
      <c r="E317" s="321"/>
      <c r="F317" s="321"/>
      <c r="G317" s="321"/>
      <c r="H317" s="321"/>
      <c r="I317" s="130"/>
      <c r="J317" s="321"/>
      <c r="K317" s="321"/>
    </row>
    <row r="318" spans="1:15" s="136" customFormat="1" hidden="1" x14ac:dyDescent="0.25">
      <c r="A318" s="322" t="s">
        <v>19</v>
      </c>
      <c r="B318" s="323" t="s">
        <v>110</v>
      </c>
      <c r="C318" s="324" t="s">
        <v>111</v>
      </c>
      <c r="D318" s="325">
        <f t="shared" ref="D318:I318" si="98">SUM(D319:D322)</f>
        <v>745360</v>
      </c>
      <c r="E318" s="325">
        <f t="shared" si="98"/>
        <v>745360</v>
      </c>
      <c r="F318" s="325">
        <f t="shared" si="98"/>
        <v>745360</v>
      </c>
      <c r="G318" s="325">
        <f t="shared" si="98"/>
        <v>745360</v>
      </c>
      <c r="H318" s="325">
        <f t="shared" si="98"/>
        <v>745360</v>
      </c>
      <c r="I318" s="135">
        <f t="shared" si="98"/>
        <v>747686</v>
      </c>
      <c r="J318" s="325"/>
      <c r="K318" s="325"/>
    </row>
    <row r="319" spans="1:15" s="144" customFormat="1" hidden="1" x14ac:dyDescent="0.25">
      <c r="A319" s="137"/>
      <c r="B319" s="138" t="s">
        <v>112</v>
      </c>
      <c r="C319" s="139" t="s">
        <v>113</v>
      </c>
      <c r="D319" s="326"/>
      <c r="E319" s="326"/>
      <c r="F319" s="326"/>
      <c r="G319" s="326"/>
      <c r="H319" s="326">
        <v>0</v>
      </c>
      <c r="I319" s="143"/>
      <c r="J319" s="326"/>
      <c r="K319" s="326"/>
    </row>
    <row r="320" spans="1:15" s="74" customFormat="1" ht="45" hidden="1" x14ac:dyDescent="0.25">
      <c r="A320" s="145" t="s">
        <v>21</v>
      </c>
      <c r="B320" s="146" t="s">
        <v>114</v>
      </c>
      <c r="C320" s="139" t="s">
        <v>115</v>
      </c>
      <c r="D320" s="195">
        <v>25000</v>
      </c>
      <c r="E320" s="195">
        <v>27500</v>
      </c>
      <c r="F320" s="195">
        <v>27500</v>
      </c>
      <c r="G320" s="195">
        <v>27500</v>
      </c>
      <c r="H320" s="195">
        <v>27500</v>
      </c>
      <c r="I320" s="149">
        <v>25000</v>
      </c>
      <c r="J320" s="195"/>
      <c r="K320" s="195"/>
    </row>
    <row r="321" spans="1:15" s="74" customFormat="1" hidden="1" x14ac:dyDescent="0.25">
      <c r="A321" s="150" t="s">
        <v>22</v>
      </c>
      <c r="B321" s="138" t="s">
        <v>116</v>
      </c>
      <c r="C321" s="139" t="s">
        <v>115</v>
      </c>
      <c r="D321" s="195">
        <v>720360</v>
      </c>
      <c r="E321" s="195">
        <v>717860</v>
      </c>
      <c r="F321" s="195">
        <v>717860</v>
      </c>
      <c r="G321" s="195">
        <v>717860</v>
      </c>
      <c r="H321" s="195">
        <v>717860</v>
      </c>
      <c r="I321" s="152">
        <f>747686-25000</f>
        <v>722686</v>
      </c>
      <c r="J321" s="195"/>
      <c r="K321" s="195"/>
      <c r="L321" s="153" t="e">
        <f>D321/D254%</f>
        <v>#DIV/0!</v>
      </c>
      <c r="M321" s="153" t="e">
        <f>F321/F254%</f>
        <v>#DIV/0!</v>
      </c>
      <c r="N321" s="153" t="e">
        <f>G321/G254%</f>
        <v>#DIV/0!</v>
      </c>
      <c r="O321" s="153" t="e">
        <f>H321/H254%</f>
        <v>#DIV/0!</v>
      </c>
    </row>
    <row r="322" spans="1:15" s="74" customFormat="1" hidden="1" x14ac:dyDescent="0.25">
      <c r="A322" s="150" t="s">
        <v>331</v>
      </c>
      <c r="B322" s="138" t="s">
        <v>332</v>
      </c>
      <c r="C322" s="139" t="s">
        <v>115</v>
      </c>
      <c r="D322" s="171"/>
      <c r="E322" s="171"/>
      <c r="F322" s="171"/>
      <c r="G322" s="171"/>
      <c r="H322" s="171"/>
      <c r="I322" s="172"/>
      <c r="J322" s="171"/>
      <c r="K322" s="171"/>
    </row>
    <row r="323" spans="1:15" s="74" customFormat="1" hidden="1" x14ac:dyDescent="0.25">
      <c r="A323" s="150"/>
      <c r="B323" s="138"/>
      <c r="C323" s="139"/>
      <c r="D323" s="154"/>
      <c r="E323" s="154"/>
      <c r="F323" s="154"/>
      <c r="G323" s="154"/>
      <c r="H323" s="154"/>
      <c r="I323" s="155"/>
      <c r="J323" s="154"/>
      <c r="K323" s="154"/>
      <c r="L323" s="61">
        <v>2013</v>
      </c>
      <c r="M323" s="61">
        <v>2014</v>
      </c>
      <c r="N323" s="61">
        <v>2015</v>
      </c>
      <c r="O323" s="61">
        <v>2016</v>
      </c>
    </row>
    <row r="324" spans="1:15" s="74" customFormat="1" hidden="1" x14ac:dyDescent="0.25">
      <c r="A324" s="156" t="s">
        <v>23</v>
      </c>
      <c r="B324" s="157" t="s">
        <v>117</v>
      </c>
      <c r="C324" s="158" t="s">
        <v>113</v>
      </c>
      <c r="D324" s="195">
        <v>59367</v>
      </c>
      <c r="E324" s="195">
        <v>39203</v>
      </c>
      <c r="F324" s="195">
        <v>31000</v>
      </c>
      <c r="G324" s="195"/>
      <c r="H324" s="195"/>
      <c r="I324" s="161"/>
      <c r="J324" s="195"/>
      <c r="K324" s="195"/>
    </row>
    <row r="325" spans="1:15" s="74" customFormat="1" ht="9.9499999999999993" hidden="1" customHeight="1" x14ac:dyDescent="0.25">
      <c r="A325" s="156"/>
      <c r="B325" s="157"/>
      <c r="C325" s="158"/>
      <c r="D325" s="327"/>
      <c r="E325" s="327"/>
      <c r="F325" s="327"/>
      <c r="G325" s="327"/>
      <c r="H325" s="327"/>
      <c r="I325" s="161"/>
      <c r="J325" s="327"/>
      <c r="K325" s="327"/>
    </row>
    <row r="326" spans="1:15" s="144" customFormat="1" hidden="1" x14ac:dyDescent="0.25">
      <c r="A326" s="137" t="s">
        <v>27</v>
      </c>
      <c r="B326" s="157" t="s">
        <v>118</v>
      </c>
      <c r="C326" s="162" t="s">
        <v>119</v>
      </c>
      <c r="D326" s="167">
        <v>3658854</v>
      </c>
      <c r="E326" s="167">
        <v>3686760</v>
      </c>
      <c r="F326" s="328">
        <f>3906280+30000</f>
        <v>3936280</v>
      </c>
      <c r="G326" s="328">
        <f>4240460-76804-2500-15000</f>
        <v>4146156</v>
      </c>
      <c r="H326" s="328">
        <f>4506040-258958-2500</f>
        <v>4244582</v>
      </c>
      <c r="I326" s="164">
        <v>4070000</v>
      </c>
      <c r="J326" s="167"/>
      <c r="K326" s="167"/>
    </row>
    <row r="327" spans="1:15" s="74" customFormat="1" ht="9" hidden="1" customHeight="1" x14ac:dyDescent="0.25">
      <c r="A327" s="150"/>
      <c r="B327" s="165"/>
      <c r="C327" s="166"/>
      <c r="D327" s="167"/>
      <c r="E327" s="167"/>
      <c r="F327" s="167"/>
      <c r="G327" s="167"/>
      <c r="H327" s="167"/>
      <c r="I327" s="164"/>
      <c r="J327" s="167"/>
      <c r="K327" s="167"/>
    </row>
    <row r="328" spans="1:15" s="144" customFormat="1" ht="31.5" hidden="1" x14ac:dyDescent="0.25">
      <c r="A328" s="137" t="s">
        <v>29</v>
      </c>
      <c r="B328" s="168" t="s">
        <v>120</v>
      </c>
      <c r="C328" s="162" t="s">
        <v>121</v>
      </c>
      <c r="D328" s="329">
        <v>7384</v>
      </c>
      <c r="E328" s="330">
        <v>1825</v>
      </c>
      <c r="F328" s="330">
        <v>1825</v>
      </c>
      <c r="G328" s="330">
        <v>1825</v>
      </c>
      <c r="H328" s="330">
        <v>1825</v>
      </c>
      <c r="I328" s="164">
        <v>0</v>
      </c>
      <c r="J328" s="330"/>
      <c r="K328" s="330"/>
    </row>
    <row r="329" spans="1:15" ht="9.9499999999999993" hidden="1" customHeight="1" x14ac:dyDescent="0.25">
      <c r="A329" s="150"/>
      <c r="B329" s="165"/>
      <c r="C329" s="166"/>
      <c r="D329" s="331"/>
      <c r="E329" s="331"/>
      <c r="F329" s="331"/>
      <c r="G329" s="331"/>
      <c r="H329" s="331"/>
      <c r="I329" s="164"/>
      <c r="J329" s="331"/>
      <c r="K329" s="331"/>
    </row>
    <row r="330" spans="1:15" s="136" customFormat="1" hidden="1" x14ac:dyDescent="0.25">
      <c r="A330" s="322" t="s">
        <v>31</v>
      </c>
      <c r="B330" s="323" t="s">
        <v>122</v>
      </c>
      <c r="C330" s="324" t="s">
        <v>87</v>
      </c>
      <c r="D330" s="325">
        <f t="shared" ref="D330:I330" si="99">SUM(D331:D338)</f>
        <v>109180</v>
      </c>
      <c r="E330" s="325">
        <f t="shared" si="99"/>
        <v>83581.149999999994</v>
      </c>
      <c r="F330" s="325">
        <f t="shared" si="99"/>
        <v>77702.149999999994</v>
      </c>
      <c r="G330" s="325">
        <f t="shared" si="99"/>
        <v>75246.5</v>
      </c>
      <c r="H330" s="325">
        <f t="shared" si="99"/>
        <v>75174</v>
      </c>
      <c r="I330" s="135">
        <f t="shared" si="99"/>
        <v>67684</v>
      </c>
      <c r="J330" s="325"/>
      <c r="K330" s="325"/>
    </row>
    <row r="331" spans="1:15" s="173" customFormat="1" hidden="1" x14ac:dyDescent="0.25">
      <c r="A331" s="102" t="s">
        <v>33</v>
      </c>
      <c r="B331" s="170" t="s">
        <v>123</v>
      </c>
      <c r="C331" s="98" t="s">
        <v>124</v>
      </c>
      <c r="D331" s="308">
        <v>0</v>
      </c>
      <c r="E331" s="308">
        <v>0</v>
      </c>
      <c r="F331" s="308">
        <v>0</v>
      </c>
      <c r="G331" s="308">
        <v>0</v>
      </c>
      <c r="H331" s="308">
        <v>0</v>
      </c>
      <c r="I331" s="172"/>
      <c r="J331" s="308"/>
      <c r="K331" s="308"/>
    </row>
    <row r="332" spans="1:15" s="173" customFormat="1" hidden="1" x14ac:dyDescent="0.25">
      <c r="A332" s="102" t="s">
        <v>34</v>
      </c>
      <c r="B332" s="170" t="s">
        <v>125</v>
      </c>
      <c r="C332" s="98" t="s">
        <v>126</v>
      </c>
      <c r="D332" s="332">
        <v>0</v>
      </c>
      <c r="E332" s="308">
        <v>0</v>
      </c>
      <c r="F332" s="332">
        <v>0</v>
      </c>
      <c r="G332" s="332">
        <v>0</v>
      </c>
      <c r="H332" s="332">
        <v>0</v>
      </c>
      <c r="I332" s="174">
        <v>67684</v>
      </c>
      <c r="J332" s="308"/>
      <c r="K332" s="308"/>
      <c r="L332" s="172"/>
      <c r="M332" s="172"/>
      <c r="N332" s="172"/>
      <c r="O332" s="172"/>
    </row>
    <row r="333" spans="1:15" s="173" customFormat="1" ht="15" hidden="1" x14ac:dyDescent="0.25">
      <c r="A333" s="102" t="s">
        <v>127</v>
      </c>
      <c r="B333" s="170" t="s">
        <v>128</v>
      </c>
      <c r="C333" s="98" t="s">
        <v>129</v>
      </c>
      <c r="D333" s="308">
        <v>0</v>
      </c>
      <c r="E333" s="308">
        <v>0</v>
      </c>
      <c r="F333" s="308">
        <v>0</v>
      </c>
      <c r="G333" s="308">
        <v>0</v>
      </c>
      <c r="H333" s="308">
        <v>0</v>
      </c>
      <c r="I333" s="105"/>
      <c r="J333" s="308"/>
      <c r="K333" s="308"/>
    </row>
    <row r="334" spans="1:15" s="173" customFormat="1" ht="15" hidden="1" x14ac:dyDescent="0.25">
      <c r="A334" s="102" t="s">
        <v>130</v>
      </c>
      <c r="B334" s="170" t="s">
        <v>131</v>
      </c>
      <c r="C334" s="98" t="s">
        <v>132</v>
      </c>
      <c r="D334" s="308">
        <v>17171</v>
      </c>
      <c r="E334" s="308">
        <v>9938</v>
      </c>
      <c r="F334" s="308">
        <v>9792</v>
      </c>
      <c r="G334" s="308">
        <v>9756</v>
      </c>
      <c r="H334" s="308">
        <v>9733</v>
      </c>
      <c r="I334" s="105"/>
      <c r="J334" s="308"/>
      <c r="K334" s="308"/>
      <c r="L334" s="175"/>
      <c r="M334" s="175"/>
      <c r="N334" s="175"/>
      <c r="O334" s="175"/>
    </row>
    <row r="335" spans="1:15" s="173" customFormat="1" ht="15" hidden="1" x14ac:dyDescent="0.25">
      <c r="A335" s="102" t="s">
        <v>133</v>
      </c>
      <c r="B335" s="170" t="s">
        <v>134</v>
      </c>
      <c r="C335" s="98" t="s">
        <v>135</v>
      </c>
      <c r="D335" s="308">
        <v>0</v>
      </c>
      <c r="E335" s="308">
        <v>0</v>
      </c>
      <c r="F335" s="308">
        <v>0</v>
      </c>
      <c r="G335" s="308">
        <v>0</v>
      </c>
      <c r="H335" s="308">
        <v>0</v>
      </c>
      <c r="I335" s="105"/>
      <c r="J335" s="308"/>
      <c r="K335" s="308"/>
    </row>
    <row r="336" spans="1:15" s="173" customFormat="1" ht="15" hidden="1" x14ac:dyDescent="0.25">
      <c r="A336" s="102" t="s">
        <v>136</v>
      </c>
      <c r="B336" s="170" t="s">
        <v>137</v>
      </c>
      <c r="C336" s="98" t="s">
        <v>138</v>
      </c>
      <c r="D336" s="308">
        <f>9137+(D100*0.45)</f>
        <v>92009</v>
      </c>
      <c r="E336" s="308">
        <f>9137+(E100*0.45)</f>
        <v>73643.149999999994</v>
      </c>
      <c r="F336" s="308">
        <f>9137+(F100*0.45)</f>
        <v>67910.149999999994</v>
      </c>
      <c r="G336" s="308">
        <f>9137+(G100*0.45)</f>
        <v>65490.5</v>
      </c>
      <c r="H336" s="308">
        <f>9137+(H100*0.45)</f>
        <v>65441</v>
      </c>
      <c r="I336" s="105"/>
      <c r="J336" s="308"/>
      <c r="K336" s="308"/>
    </row>
    <row r="337" spans="1:15" s="173" customFormat="1" ht="15" hidden="1" x14ac:dyDescent="0.25">
      <c r="A337" s="102" t="s">
        <v>139</v>
      </c>
      <c r="B337" s="170" t="s">
        <v>140</v>
      </c>
      <c r="C337" s="98" t="s">
        <v>141</v>
      </c>
      <c r="D337" s="308">
        <v>0</v>
      </c>
      <c r="E337" s="308">
        <v>0</v>
      </c>
      <c r="F337" s="308">
        <v>0</v>
      </c>
      <c r="G337" s="308">
        <v>0</v>
      </c>
      <c r="H337" s="308">
        <v>0</v>
      </c>
      <c r="I337" s="105"/>
      <c r="J337" s="308"/>
      <c r="K337" s="308"/>
      <c r="L337" s="176"/>
      <c r="M337" s="176"/>
      <c r="N337" s="176"/>
      <c r="O337" s="176"/>
    </row>
    <row r="338" spans="1:15" s="173" customFormat="1" hidden="1" x14ac:dyDescent="0.25">
      <c r="A338" s="102" t="s">
        <v>142</v>
      </c>
      <c r="B338" s="170" t="s">
        <v>143</v>
      </c>
      <c r="C338" s="98" t="s">
        <v>144</v>
      </c>
      <c r="D338" s="333">
        <v>0</v>
      </c>
      <c r="E338" s="333">
        <v>0</v>
      </c>
      <c r="F338" s="333">
        <v>0</v>
      </c>
      <c r="G338" s="333">
        <v>0</v>
      </c>
      <c r="H338" s="333">
        <v>0</v>
      </c>
      <c r="I338" s="178"/>
      <c r="J338" s="333"/>
      <c r="K338" s="333"/>
    </row>
    <row r="339" spans="1:15" s="181" customFormat="1" ht="9.9499999999999993" hidden="1" customHeight="1" x14ac:dyDescent="0.2">
      <c r="A339" s="179"/>
      <c r="B339" s="180"/>
      <c r="C339" s="119"/>
      <c r="D339" s="334"/>
      <c r="E339" s="334"/>
      <c r="F339" s="334"/>
      <c r="G339" s="334"/>
      <c r="H339" s="334"/>
      <c r="I339" s="121"/>
      <c r="J339" s="334"/>
      <c r="K339" s="334"/>
      <c r="L339" s="182"/>
      <c r="M339" s="182"/>
      <c r="N339" s="182"/>
      <c r="O339" s="182"/>
    </row>
    <row r="340" spans="1:15" s="95" customFormat="1" ht="15" hidden="1" customHeight="1" x14ac:dyDescent="0.25">
      <c r="A340" s="335" t="s">
        <v>108</v>
      </c>
      <c r="B340" s="336" t="s">
        <v>333</v>
      </c>
      <c r="C340" s="337" t="s">
        <v>87</v>
      </c>
      <c r="D340" s="338">
        <f t="shared" ref="D340:I340" si="100">SUM(D342,D402,D421,D426,D467,D509,D519)</f>
        <v>4625951</v>
      </c>
      <c r="E340" s="338">
        <f t="shared" si="100"/>
        <v>4796952</v>
      </c>
      <c r="F340" s="338">
        <f t="shared" si="100"/>
        <v>4792773</v>
      </c>
      <c r="G340" s="338">
        <f t="shared" si="100"/>
        <v>4901303</v>
      </c>
      <c r="H340" s="338">
        <f t="shared" si="100"/>
        <v>5046490</v>
      </c>
      <c r="I340" s="93" t="e">
        <f t="shared" si="100"/>
        <v>#VALUE!</v>
      </c>
      <c r="J340" s="338"/>
      <c r="K340" s="338"/>
    </row>
    <row r="341" spans="1:15" s="60" customFormat="1" ht="12.75" hidden="1" customHeight="1" x14ac:dyDescent="0.2">
      <c r="A341" s="183"/>
      <c r="B341" s="184"/>
      <c r="C341" s="185"/>
      <c r="D341" s="339"/>
      <c r="E341" s="339"/>
      <c r="F341" s="339"/>
      <c r="G341" s="339"/>
      <c r="H341" s="339"/>
      <c r="I341" s="187"/>
      <c r="J341" s="339"/>
      <c r="K341" s="339"/>
    </row>
    <row r="342" spans="1:15" s="343" customFormat="1" hidden="1" x14ac:dyDescent="0.25">
      <c r="A342" s="322" t="s">
        <v>19</v>
      </c>
      <c r="B342" s="323" t="s">
        <v>147</v>
      </c>
      <c r="C342" s="340" t="s">
        <v>87</v>
      </c>
      <c r="D342" s="341">
        <f t="shared" ref="D342:I342" si="101">SUM(D343,D372)</f>
        <v>3521311</v>
      </c>
      <c r="E342" s="341">
        <f t="shared" si="101"/>
        <v>3556744</v>
      </c>
      <c r="F342" s="341">
        <f t="shared" si="101"/>
        <v>3443603</v>
      </c>
      <c r="G342" s="341">
        <f t="shared" si="101"/>
        <v>3485863</v>
      </c>
      <c r="H342" s="341">
        <f t="shared" si="101"/>
        <v>3530008</v>
      </c>
      <c r="I342" s="342" t="e">
        <f t="shared" si="101"/>
        <v>#VALUE!</v>
      </c>
      <c r="J342" s="341"/>
      <c r="K342" s="341"/>
    </row>
    <row r="343" spans="1:15" s="349" customFormat="1" ht="15" hidden="1" x14ac:dyDescent="0.25">
      <c r="A343" s="344" t="s">
        <v>21</v>
      </c>
      <c r="B343" s="345" t="s">
        <v>148</v>
      </c>
      <c r="C343" s="346" t="s">
        <v>87</v>
      </c>
      <c r="D343" s="347">
        <f t="shared" ref="D343:I343" si="102">SUM(D344:D345)</f>
        <v>137352</v>
      </c>
      <c r="E343" s="347">
        <f t="shared" si="102"/>
        <v>151240</v>
      </c>
      <c r="F343" s="347">
        <f t="shared" si="102"/>
        <v>240175</v>
      </c>
      <c r="G343" s="347">
        <f t="shared" si="102"/>
        <v>247097</v>
      </c>
      <c r="H343" s="347">
        <f t="shared" si="102"/>
        <v>255567</v>
      </c>
      <c r="I343" s="348">
        <f t="shared" si="102"/>
        <v>0</v>
      </c>
      <c r="J343" s="347"/>
      <c r="K343" s="347"/>
    </row>
    <row r="344" spans="1:15" s="349" customFormat="1" ht="16.5" hidden="1" customHeight="1" x14ac:dyDescent="0.25">
      <c r="A344" s="344" t="s">
        <v>149</v>
      </c>
      <c r="B344" s="350" t="s">
        <v>150</v>
      </c>
      <c r="C344" s="346" t="s">
        <v>151</v>
      </c>
      <c r="D344" s="347">
        <f t="shared" ref="D344:I344" si="103">SUM(D347:D351)</f>
        <v>126500</v>
      </c>
      <c r="E344" s="347">
        <f t="shared" si="103"/>
        <v>140477</v>
      </c>
      <c r="F344" s="347">
        <f t="shared" si="103"/>
        <v>239397</v>
      </c>
      <c r="G344" s="347">
        <f t="shared" si="103"/>
        <v>247097</v>
      </c>
      <c r="H344" s="347">
        <f t="shared" si="103"/>
        <v>255567</v>
      </c>
      <c r="I344" s="348">
        <f t="shared" si="103"/>
        <v>0</v>
      </c>
      <c r="J344" s="347"/>
      <c r="K344" s="347"/>
    </row>
    <row r="345" spans="1:15" s="349" customFormat="1" ht="16.5" hidden="1" customHeight="1" x14ac:dyDescent="0.25">
      <c r="A345" s="344" t="s">
        <v>152</v>
      </c>
      <c r="B345" s="350" t="s">
        <v>153</v>
      </c>
      <c r="C345" s="346" t="s">
        <v>154</v>
      </c>
      <c r="D345" s="347">
        <f t="shared" ref="D345:I345" si="104">SUM(D346)</f>
        <v>10852</v>
      </c>
      <c r="E345" s="347">
        <f t="shared" si="104"/>
        <v>10763</v>
      </c>
      <c r="F345" s="347">
        <f t="shared" si="104"/>
        <v>778</v>
      </c>
      <c r="G345" s="347">
        <f t="shared" si="104"/>
        <v>0</v>
      </c>
      <c r="H345" s="347">
        <f t="shared" si="104"/>
        <v>0</v>
      </c>
      <c r="I345" s="348">
        <f t="shared" si="104"/>
        <v>0</v>
      </c>
      <c r="J345" s="347"/>
      <c r="K345" s="347"/>
    </row>
    <row r="346" spans="1:15" s="85" customFormat="1" ht="15" hidden="1" x14ac:dyDescent="0.25">
      <c r="A346" s="102"/>
      <c r="B346" s="170" t="s">
        <v>155</v>
      </c>
      <c r="C346" s="98" t="s">
        <v>154</v>
      </c>
      <c r="D346" s="195">
        <v>10852</v>
      </c>
      <c r="E346" s="195">
        <v>10763</v>
      </c>
      <c r="F346" s="195">
        <v>778</v>
      </c>
      <c r="G346" s="195">
        <v>0</v>
      </c>
      <c r="H346" s="195">
        <v>0</v>
      </c>
      <c r="I346" s="196"/>
      <c r="J346" s="195"/>
      <c r="K346" s="195"/>
    </row>
    <row r="347" spans="1:15" s="85" customFormat="1" ht="15" hidden="1" x14ac:dyDescent="0.25">
      <c r="A347" s="102"/>
      <c r="B347" s="170" t="s">
        <v>156</v>
      </c>
      <c r="C347" s="98" t="s">
        <v>151</v>
      </c>
      <c r="D347" s="195">
        <v>1300</v>
      </c>
      <c r="E347" s="1016">
        <v>1500</v>
      </c>
      <c r="F347" s="195">
        <v>4500</v>
      </c>
      <c r="G347" s="195">
        <v>4500</v>
      </c>
      <c r="H347" s="195">
        <v>4500</v>
      </c>
      <c r="I347" s="196"/>
      <c r="J347" s="1016"/>
      <c r="K347" s="1016"/>
    </row>
    <row r="348" spans="1:15" s="85" customFormat="1" ht="45" hidden="1" x14ac:dyDescent="0.25">
      <c r="A348" s="102"/>
      <c r="B348" s="197" t="s">
        <v>157</v>
      </c>
      <c r="C348" s="98" t="s">
        <v>151</v>
      </c>
      <c r="D348" s="195">
        <v>50000</v>
      </c>
      <c r="E348" s="195">
        <v>55000</v>
      </c>
      <c r="F348" s="195">
        <v>55000</v>
      </c>
      <c r="G348" s="195">
        <v>55000</v>
      </c>
      <c r="H348" s="195">
        <v>55000</v>
      </c>
      <c r="I348" s="196"/>
      <c r="J348" s="195"/>
      <c r="K348" s="195"/>
    </row>
    <row r="349" spans="1:15" hidden="1" x14ac:dyDescent="0.25">
      <c r="A349" s="150"/>
      <c r="B349" s="170" t="s">
        <v>158</v>
      </c>
      <c r="C349" s="98" t="s">
        <v>151</v>
      </c>
      <c r="D349" s="195">
        <v>1200</v>
      </c>
      <c r="E349" s="195">
        <v>2000</v>
      </c>
      <c r="F349" s="195">
        <v>2000</v>
      </c>
      <c r="G349" s="195">
        <v>2000</v>
      </c>
      <c r="H349" s="195">
        <v>2000</v>
      </c>
      <c r="I349" s="196"/>
      <c r="J349" s="195"/>
      <c r="K349" s="195"/>
    </row>
    <row r="350" spans="1:15" hidden="1" x14ac:dyDescent="0.25">
      <c r="A350" s="150"/>
      <c r="B350" s="170" t="s">
        <v>159</v>
      </c>
      <c r="C350" s="98" t="s">
        <v>151</v>
      </c>
      <c r="D350" s="195">
        <v>200</v>
      </c>
      <c r="E350" s="195">
        <v>300</v>
      </c>
      <c r="F350" s="195">
        <v>300</v>
      </c>
      <c r="G350" s="195">
        <v>300</v>
      </c>
      <c r="H350" s="195">
        <v>300</v>
      </c>
      <c r="I350" s="196"/>
      <c r="J350" s="195"/>
      <c r="K350" s="195"/>
    </row>
    <row r="351" spans="1:15" s="353" customFormat="1" ht="30" hidden="1" x14ac:dyDescent="0.25">
      <c r="A351" s="351"/>
      <c r="B351" s="352" t="s">
        <v>160</v>
      </c>
      <c r="C351" s="346" t="s">
        <v>151</v>
      </c>
      <c r="D351" s="347">
        <f t="shared" ref="D351:I351" si="105">SUM(D352:D370)</f>
        <v>73800</v>
      </c>
      <c r="E351" s="347">
        <f t="shared" si="105"/>
        <v>81677</v>
      </c>
      <c r="F351" s="347">
        <f t="shared" si="105"/>
        <v>177597</v>
      </c>
      <c r="G351" s="347">
        <f t="shared" si="105"/>
        <v>185297</v>
      </c>
      <c r="H351" s="347">
        <f t="shared" si="105"/>
        <v>193767</v>
      </c>
      <c r="I351" s="348">
        <f t="shared" si="105"/>
        <v>0</v>
      </c>
      <c r="J351" s="347"/>
      <c r="K351" s="347"/>
    </row>
    <row r="352" spans="1:15" hidden="1" x14ac:dyDescent="0.25">
      <c r="A352" s="150"/>
      <c r="B352" s="200" t="s">
        <v>161</v>
      </c>
      <c r="C352" s="98"/>
      <c r="D352" s="195">
        <v>0</v>
      </c>
      <c r="E352" s="195">
        <v>0</v>
      </c>
      <c r="F352" s="195"/>
      <c r="G352" s="195"/>
      <c r="H352" s="195"/>
      <c r="I352" s="196"/>
      <c r="J352" s="195"/>
      <c r="K352" s="195"/>
    </row>
    <row r="353" spans="1:11" hidden="1" x14ac:dyDescent="0.25">
      <c r="A353" s="150"/>
      <c r="B353" s="200" t="s">
        <v>162</v>
      </c>
      <c r="C353" s="98"/>
      <c r="D353" s="195">
        <v>3826</v>
      </c>
      <c r="E353" s="195">
        <v>5000</v>
      </c>
      <c r="F353" s="195">
        <v>5000</v>
      </c>
      <c r="G353" s="195">
        <v>5000</v>
      </c>
      <c r="H353" s="195">
        <v>5000</v>
      </c>
      <c r="I353" s="196"/>
      <c r="J353" s="195"/>
      <c r="K353" s="195"/>
    </row>
    <row r="354" spans="1:11" hidden="1" x14ac:dyDescent="0.25">
      <c r="A354" s="150"/>
      <c r="B354" s="200" t="s">
        <v>163</v>
      </c>
      <c r="C354" s="98"/>
      <c r="D354" s="195">
        <v>0</v>
      </c>
      <c r="E354" s="195">
        <v>0</v>
      </c>
      <c r="F354" s="195"/>
      <c r="G354" s="195"/>
      <c r="H354" s="195"/>
      <c r="I354" s="196"/>
      <c r="J354" s="195"/>
      <c r="K354" s="195"/>
    </row>
    <row r="355" spans="1:11" hidden="1" x14ac:dyDescent="0.25">
      <c r="A355" s="150"/>
      <c r="B355" s="200" t="s">
        <v>164</v>
      </c>
      <c r="C355" s="98"/>
      <c r="D355" s="195">
        <v>0</v>
      </c>
      <c r="E355" s="195">
        <v>0</v>
      </c>
      <c r="F355" s="195"/>
      <c r="G355" s="195"/>
      <c r="H355" s="195"/>
      <c r="I355" s="196"/>
      <c r="J355" s="195"/>
      <c r="K355" s="195"/>
    </row>
    <row r="356" spans="1:11" hidden="1" x14ac:dyDescent="0.25">
      <c r="A356" s="150"/>
      <c r="B356" s="200" t="s">
        <v>165</v>
      </c>
      <c r="C356" s="98"/>
      <c r="D356" s="195">
        <v>0</v>
      </c>
      <c r="E356" s="195">
        <v>0</v>
      </c>
      <c r="F356" s="195"/>
      <c r="G356" s="195"/>
      <c r="H356" s="195"/>
      <c r="I356" s="196"/>
      <c r="J356" s="195"/>
      <c r="K356" s="195"/>
    </row>
    <row r="357" spans="1:11" hidden="1" x14ac:dyDescent="0.25">
      <c r="A357" s="150"/>
      <c r="B357" s="200" t="s">
        <v>166</v>
      </c>
      <c r="C357" s="98"/>
      <c r="D357" s="195">
        <v>0</v>
      </c>
      <c r="E357" s="195">
        <v>0</v>
      </c>
      <c r="F357" s="195"/>
      <c r="G357" s="195"/>
      <c r="H357" s="195"/>
      <c r="I357" s="196"/>
      <c r="J357" s="195"/>
      <c r="K357" s="195"/>
    </row>
    <row r="358" spans="1:11" hidden="1" x14ac:dyDescent="0.25">
      <c r="A358" s="150"/>
      <c r="B358" s="200" t="s">
        <v>167</v>
      </c>
      <c r="C358" s="98"/>
      <c r="D358" s="195">
        <v>0</v>
      </c>
      <c r="E358" s="195">
        <v>0</v>
      </c>
      <c r="F358" s="195"/>
      <c r="G358" s="195"/>
      <c r="H358" s="195"/>
      <c r="I358" s="196"/>
      <c r="J358" s="195"/>
      <c r="K358" s="195"/>
    </row>
    <row r="359" spans="1:11" hidden="1" x14ac:dyDescent="0.25">
      <c r="A359" s="150"/>
      <c r="B359" s="200" t="s">
        <v>168</v>
      </c>
      <c r="C359" s="98"/>
      <c r="D359" s="195">
        <v>0</v>
      </c>
      <c r="E359" s="195">
        <v>0</v>
      </c>
      <c r="F359" s="195"/>
      <c r="G359" s="195"/>
      <c r="H359" s="195"/>
      <c r="I359" s="196"/>
      <c r="J359" s="195"/>
      <c r="K359" s="195"/>
    </row>
    <row r="360" spans="1:11" hidden="1" x14ac:dyDescent="0.25">
      <c r="A360" s="150"/>
      <c r="B360" s="200" t="s">
        <v>169</v>
      </c>
      <c r="C360" s="98"/>
      <c r="D360" s="195">
        <v>0</v>
      </c>
      <c r="E360" s="195">
        <v>0</v>
      </c>
      <c r="F360" s="195"/>
      <c r="G360" s="195"/>
      <c r="H360" s="201"/>
      <c r="I360" s="196"/>
      <c r="J360" s="195"/>
      <c r="K360" s="195"/>
    </row>
    <row r="361" spans="1:11" hidden="1" x14ac:dyDescent="0.25">
      <c r="A361" s="150"/>
      <c r="B361" s="200" t="s">
        <v>170</v>
      </c>
      <c r="C361" s="98"/>
      <c r="D361" s="195">
        <v>0</v>
      </c>
      <c r="E361" s="195">
        <v>0</v>
      </c>
      <c r="F361" s="195"/>
      <c r="G361" s="195"/>
      <c r="H361" s="195"/>
      <c r="I361" s="196"/>
      <c r="J361" s="195"/>
      <c r="K361" s="195"/>
    </row>
    <row r="362" spans="1:11" hidden="1" x14ac:dyDescent="0.25">
      <c r="A362" s="150"/>
      <c r="B362" s="200" t="s">
        <v>171</v>
      </c>
      <c r="C362" s="98"/>
      <c r="D362" s="195">
        <v>0</v>
      </c>
      <c r="E362" s="195">
        <v>0</v>
      </c>
      <c r="F362" s="195"/>
      <c r="G362" s="195"/>
      <c r="H362" s="195"/>
      <c r="I362" s="196"/>
      <c r="J362" s="195"/>
      <c r="K362" s="195"/>
    </row>
    <row r="363" spans="1:11" hidden="1" x14ac:dyDescent="0.25">
      <c r="A363" s="150"/>
      <c r="B363" s="200" t="s">
        <v>172</v>
      </c>
      <c r="C363" s="98"/>
      <c r="D363" s="195">
        <v>0</v>
      </c>
      <c r="E363" s="195">
        <v>0</v>
      </c>
      <c r="F363" s="195"/>
      <c r="G363" s="195"/>
      <c r="H363" s="195"/>
      <c r="I363" s="196"/>
      <c r="J363" s="195"/>
      <c r="K363" s="195"/>
    </row>
    <row r="364" spans="1:11" hidden="1" x14ac:dyDescent="0.25">
      <c r="A364" s="150"/>
      <c r="B364" s="200" t="s">
        <v>173</v>
      </c>
      <c r="C364" s="98"/>
      <c r="D364" s="195">
        <v>0</v>
      </c>
      <c r="E364" s="195">
        <v>0</v>
      </c>
      <c r="F364" s="195"/>
      <c r="G364" s="195"/>
      <c r="H364" s="195"/>
      <c r="I364" s="196"/>
      <c r="J364" s="195"/>
      <c r="K364" s="195"/>
    </row>
    <row r="365" spans="1:11" hidden="1" x14ac:dyDescent="0.25">
      <c r="A365" s="150"/>
      <c r="B365" s="200" t="s">
        <v>174</v>
      </c>
      <c r="C365" s="98"/>
      <c r="D365" s="195">
        <v>0</v>
      </c>
      <c r="E365" s="195">
        <v>0</v>
      </c>
      <c r="F365" s="195"/>
      <c r="G365" s="195"/>
      <c r="H365" s="195"/>
      <c r="I365" s="196"/>
      <c r="J365" s="195"/>
      <c r="K365" s="195"/>
    </row>
    <row r="366" spans="1:11" hidden="1" x14ac:dyDescent="0.25">
      <c r="A366" s="150"/>
      <c r="B366" s="200" t="s">
        <v>175</v>
      </c>
      <c r="C366" s="98"/>
      <c r="D366" s="195">
        <v>0</v>
      </c>
      <c r="E366" s="195">
        <v>0</v>
      </c>
      <c r="F366" s="195"/>
      <c r="G366" s="195"/>
      <c r="H366" s="201"/>
      <c r="I366" s="196"/>
      <c r="J366" s="195"/>
      <c r="K366" s="195"/>
    </row>
    <row r="367" spans="1:11" hidden="1" x14ac:dyDescent="0.25">
      <c r="A367" s="150"/>
      <c r="B367" s="200" t="s">
        <v>176</v>
      </c>
      <c r="C367" s="98"/>
      <c r="D367" s="195">
        <v>360</v>
      </c>
      <c r="E367" s="195">
        <f>897+300</f>
        <v>1197</v>
      </c>
      <c r="F367" s="195">
        <v>397</v>
      </c>
      <c r="G367" s="195">
        <v>397</v>
      </c>
      <c r="H367" s="195">
        <v>397</v>
      </c>
      <c r="I367" s="196"/>
      <c r="J367" s="195"/>
      <c r="K367" s="195"/>
    </row>
    <row r="368" spans="1:11" hidden="1" x14ac:dyDescent="0.25">
      <c r="A368" s="150"/>
      <c r="B368" s="200" t="s">
        <v>177</v>
      </c>
      <c r="C368" s="98"/>
      <c r="D368" s="195">
        <v>69614</v>
      </c>
      <c r="E368" s="206">
        <f>90000-14520</f>
        <v>75480</v>
      </c>
      <c r="F368" s="195">
        <f>90000+77000</f>
        <v>167000</v>
      </c>
      <c r="G368" s="195">
        <f>90000+84700</f>
        <v>174700</v>
      </c>
      <c r="H368" s="195">
        <f>90000+93170</f>
        <v>183170</v>
      </c>
      <c r="I368" s="196"/>
      <c r="J368" s="206"/>
      <c r="K368" s="206"/>
    </row>
    <row r="369" spans="1:13" hidden="1" x14ac:dyDescent="0.25">
      <c r="A369" s="150"/>
      <c r="B369" s="200" t="s">
        <v>178</v>
      </c>
      <c r="C369" s="98"/>
      <c r="D369" s="195"/>
      <c r="E369" s="195"/>
      <c r="F369" s="195"/>
      <c r="G369" s="195"/>
      <c r="H369" s="195"/>
      <c r="I369" s="196"/>
      <c r="J369" s="195"/>
      <c r="K369" s="195"/>
    </row>
    <row r="370" spans="1:13" hidden="1" x14ac:dyDescent="0.25">
      <c r="A370" s="150"/>
      <c r="B370" s="200" t="s">
        <v>179</v>
      </c>
      <c r="C370" s="98"/>
      <c r="D370" s="195"/>
      <c r="E370" s="195">
        <v>0</v>
      </c>
      <c r="F370" s="195">
        <f>82200-77000</f>
        <v>5200</v>
      </c>
      <c r="G370" s="202">
        <v>5200</v>
      </c>
      <c r="H370" s="195">
        <v>5200</v>
      </c>
      <c r="I370" s="196"/>
      <c r="J370" s="195"/>
      <c r="K370" s="195"/>
      <c r="L370" s="354">
        <f>G370-5200</f>
        <v>0</v>
      </c>
      <c r="M370" s="354">
        <f>H370-5200</f>
        <v>0</v>
      </c>
    </row>
    <row r="371" spans="1:13" hidden="1" x14ac:dyDescent="0.25">
      <c r="A371" s="150"/>
      <c r="B371" s="1008"/>
      <c r="C371" s="98"/>
      <c r="D371" s="104"/>
      <c r="E371" s="104"/>
      <c r="F371" s="104"/>
      <c r="G371" s="104"/>
      <c r="H371" s="104"/>
      <c r="I371" s="105"/>
      <c r="J371" s="104"/>
      <c r="K371" s="104"/>
    </row>
    <row r="372" spans="1:13" s="349" customFormat="1" ht="15" hidden="1" x14ac:dyDescent="0.25">
      <c r="A372" s="344" t="s">
        <v>22</v>
      </c>
      <c r="B372" s="345" t="s">
        <v>180</v>
      </c>
      <c r="C372" s="346"/>
      <c r="D372" s="347">
        <f t="shared" ref="D372:I372" si="106">SUM(D373:D374)</f>
        <v>3383959</v>
      </c>
      <c r="E372" s="347">
        <f t="shared" si="106"/>
        <v>3405504</v>
      </c>
      <c r="F372" s="347">
        <f t="shared" si="106"/>
        <v>3203428</v>
      </c>
      <c r="G372" s="347">
        <f t="shared" si="106"/>
        <v>3238766</v>
      </c>
      <c r="H372" s="347">
        <f t="shared" si="106"/>
        <v>3274441</v>
      </c>
      <c r="I372" s="348" t="e">
        <f t="shared" si="106"/>
        <v>#VALUE!</v>
      </c>
      <c r="J372" s="347"/>
      <c r="K372" s="347"/>
    </row>
    <row r="373" spans="1:13" s="349" customFormat="1" ht="15" hidden="1" x14ac:dyDescent="0.25">
      <c r="A373" s="344" t="s">
        <v>181</v>
      </c>
      <c r="B373" s="350" t="s">
        <v>150</v>
      </c>
      <c r="C373" s="346" t="s">
        <v>182</v>
      </c>
      <c r="D373" s="347">
        <f>SUM(D380,D381,D382,D383,D384,D385,D386,D387,D375+D379)</f>
        <v>3383959</v>
      </c>
      <c r="E373" s="347">
        <f>SUM(E380,E381,E382,E383,E384,E385,E386,E387,E375+E379)</f>
        <v>3405504</v>
      </c>
      <c r="F373" s="347">
        <f>SUM(F380:F380,F381,F382,F383,F384,F385,F386,F387,F375)</f>
        <v>3203428</v>
      </c>
      <c r="G373" s="347">
        <f>SUM(G380:G380,G381,G382,G383,G384,G385,G386,G387,G375)</f>
        <v>3238766</v>
      </c>
      <c r="H373" s="347">
        <f>SUM(H380:H380,H381,H382,H383,H384,H385,H386,H387,H375)</f>
        <v>3274441</v>
      </c>
      <c r="I373" s="348" t="e">
        <f>SUM("$#ODWOŁANIE$#ODWOŁANIE",I381,I382,I383,I384,I385,I386,I387,I375)</f>
        <v>#VALUE!</v>
      </c>
      <c r="J373" s="347"/>
      <c r="K373" s="347"/>
    </row>
    <row r="374" spans="1:13" s="349" customFormat="1" ht="15" hidden="1" x14ac:dyDescent="0.25">
      <c r="A374" s="344" t="s">
        <v>183</v>
      </c>
      <c r="B374" s="350" t="s">
        <v>153</v>
      </c>
      <c r="C374" s="346" t="s">
        <v>184</v>
      </c>
      <c r="D374" s="347">
        <f t="shared" ref="D374:I374" si="107">SUM(D379)</f>
        <v>0</v>
      </c>
      <c r="E374" s="347">
        <f t="shared" si="107"/>
        <v>0</v>
      </c>
      <c r="F374" s="347">
        <f t="shared" si="107"/>
        <v>0</v>
      </c>
      <c r="G374" s="347">
        <f t="shared" si="107"/>
        <v>0</v>
      </c>
      <c r="H374" s="347">
        <f t="shared" si="107"/>
        <v>0</v>
      </c>
      <c r="I374" s="348">
        <f t="shared" si="107"/>
        <v>0</v>
      </c>
      <c r="J374" s="347"/>
      <c r="K374" s="347"/>
    </row>
    <row r="375" spans="1:13" s="349" customFormat="1" ht="15" hidden="1" x14ac:dyDescent="0.25">
      <c r="A375" s="344"/>
      <c r="B375" s="355" t="s">
        <v>185</v>
      </c>
      <c r="C375" s="346" t="s">
        <v>182</v>
      </c>
      <c r="D375" s="347">
        <f t="shared" ref="D375:I375" si="108">SUM(D376:D378)</f>
        <v>74676</v>
      </c>
      <c r="E375" s="347">
        <f t="shared" si="108"/>
        <v>84294</v>
      </c>
      <c r="F375" s="347">
        <f t="shared" si="108"/>
        <v>89318</v>
      </c>
      <c r="G375" s="347">
        <f t="shared" si="108"/>
        <v>94656</v>
      </c>
      <c r="H375" s="347">
        <f t="shared" si="108"/>
        <v>100331</v>
      </c>
      <c r="I375" s="348">
        <f t="shared" si="108"/>
        <v>0</v>
      </c>
      <c r="J375" s="347"/>
      <c r="K375" s="347"/>
    </row>
    <row r="376" spans="1:13" s="85" customFormat="1" ht="15" hidden="1" x14ac:dyDescent="0.25">
      <c r="A376" s="102"/>
      <c r="B376" s="200" t="s">
        <v>186</v>
      </c>
      <c r="C376" s="98" t="s">
        <v>182</v>
      </c>
      <c r="D376" s="195">
        <v>50</v>
      </c>
      <c r="E376" s="195">
        <v>50</v>
      </c>
      <c r="F376" s="195">
        <v>50</v>
      </c>
      <c r="G376" s="195">
        <v>50</v>
      </c>
      <c r="H376" s="195">
        <v>50</v>
      </c>
      <c r="I376" s="196"/>
      <c r="J376" s="195"/>
      <c r="K376" s="195"/>
    </row>
    <row r="377" spans="1:13" s="85" customFormat="1" ht="15" hidden="1" x14ac:dyDescent="0.25">
      <c r="A377" s="102"/>
      <c r="B377" s="200" t="s">
        <v>187</v>
      </c>
      <c r="C377" s="98" t="s">
        <v>182</v>
      </c>
      <c r="D377" s="195">
        <v>70847</v>
      </c>
      <c r="E377" s="195">
        <v>79925</v>
      </c>
      <c r="F377" s="195">
        <v>84163</v>
      </c>
      <c r="G377" s="195">
        <v>88625</v>
      </c>
      <c r="H377" s="195">
        <v>93324</v>
      </c>
      <c r="I377" s="196"/>
      <c r="J377" s="195"/>
      <c r="K377" s="195"/>
    </row>
    <row r="378" spans="1:13" s="85" customFormat="1" ht="15" hidden="1" x14ac:dyDescent="0.25">
      <c r="A378" s="102"/>
      <c r="B378" s="200" t="s">
        <v>188</v>
      </c>
      <c r="C378" s="98" t="s">
        <v>182</v>
      </c>
      <c r="D378" s="195">
        <v>3779</v>
      </c>
      <c r="E378" s="195">
        <v>4319</v>
      </c>
      <c r="F378" s="195">
        <v>5105</v>
      </c>
      <c r="G378" s="195">
        <v>5981</v>
      </c>
      <c r="H378" s="195">
        <v>6957</v>
      </c>
      <c r="I378" s="196"/>
      <c r="J378" s="195"/>
      <c r="K378" s="195"/>
    </row>
    <row r="379" spans="1:13" s="85" customFormat="1" ht="15" hidden="1" x14ac:dyDescent="0.25">
      <c r="A379" s="102"/>
      <c r="B379" s="170" t="s">
        <v>155</v>
      </c>
      <c r="C379" s="98" t="s">
        <v>184</v>
      </c>
      <c r="D379" s="195"/>
      <c r="E379" s="195"/>
      <c r="F379" s="195"/>
      <c r="G379" s="195"/>
      <c r="H379" s="195"/>
      <c r="I379" s="196"/>
      <c r="J379" s="195"/>
      <c r="K379" s="195"/>
    </row>
    <row r="380" spans="1:13" s="85" customFormat="1" ht="15" hidden="1" x14ac:dyDescent="0.25">
      <c r="A380" s="102"/>
      <c r="B380" s="170" t="s">
        <v>156</v>
      </c>
      <c r="C380" s="98" t="s">
        <v>182</v>
      </c>
      <c r="D380" s="195">
        <v>500</v>
      </c>
      <c r="E380" s="206"/>
      <c r="F380" s="204">
        <v>2400</v>
      </c>
      <c r="G380" s="204">
        <v>2400</v>
      </c>
      <c r="H380" s="204">
        <v>2400</v>
      </c>
      <c r="I380" s="196"/>
      <c r="J380" s="206"/>
      <c r="K380" s="206"/>
    </row>
    <row r="381" spans="1:13" s="85" customFormat="1" ht="15" hidden="1" x14ac:dyDescent="0.25">
      <c r="A381" s="102"/>
      <c r="B381" s="205" t="s">
        <v>189</v>
      </c>
      <c r="C381" s="98" t="s">
        <v>182</v>
      </c>
      <c r="D381" s="195">
        <v>4200</v>
      </c>
      <c r="E381" s="195">
        <v>5500</v>
      </c>
      <c r="F381" s="195">
        <v>5500</v>
      </c>
      <c r="G381" s="195">
        <v>5500</v>
      </c>
      <c r="H381" s="195">
        <v>5500</v>
      </c>
      <c r="I381" s="196"/>
      <c r="J381" s="195"/>
      <c r="K381" s="195"/>
    </row>
    <row r="382" spans="1:13" s="85" customFormat="1" ht="33" hidden="1" customHeight="1" x14ac:dyDescent="0.25">
      <c r="A382" s="102"/>
      <c r="B382" s="205" t="s">
        <v>190</v>
      </c>
      <c r="C382" s="98" t="s">
        <v>182</v>
      </c>
      <c r="D382" s="195">
        <v>6041</v>
      </c>
      <c r="E382" s="206">
        <v>5500</v>
      </c>
      <c r="F382" s="195">
        <v>13000</v>
      </c>
      <c r="G382" s="195">
        <v>13000</v>
      </c>
      <c r="H382" s="195">
        <v>13000</v>
      </c>
      <c r="I382" s="196"/>
      <c r="J382" s="206"/>
      <c r="K382" s="206"/>
    </row>
    <row r="383" spans="1:13" s="85" customFormat="1" ht="15" hidden="1" x14ac:dyDescent="0.25">
      <c r="A383" s="102"/>
      <c r="B383" s="170" t="s">
        <v>191</v>
      </c>
      <c r="C383" s="98" t="s">
        <v>182</v>
      </c>
      <c r="D383" s="195">
        <v>3156132</v>
      </c>
      <c r="E383" s="206">
        <v>3147000</v>
      </c>
      <c r="F383" s="195">
        <v>2930000</v>
      </c>
      <c r="G383" s="195">
        <v>2960000</v>
      </c>
      <c r="H383" s="195">
        <v>2990000</v>
      </c>
      <c r="I383" s="207"/>
      <c r="J383" s="206"/>
      <c r="K383" s="206"/>
    </row>
    <row r="384" spans="1:13" s="85" customFormat="1" ht="15" hidden="1" x14ac:dyDescent="0.25">
      <c r="A384" s="102"/>
      <c r="B384" s="170" t="s">
        <v>192</v>
      </c>
      <c r="C384" s="98" t="s">
        <v>182</v>
      </c>
      <c r="D384" s="195">
        <v>10</v>
      </c>
      <c r="E384" s="195">
        <v>10</v>
      </c>
      <c r="F384" s="195">
        <v>10</v>
      </c>
      <c r="G384" s="195">
        <v>10</v>
      </c>
      <c r="H384" s="195">
        <v>10</v>
      </c>
      <c r="I384" s="196"/>
      <c r="J384" s="195"/>
      <c r="K384" s="195"/>
    </row>
    <row r="385" spans="1:11" s="85" customFormat="1" ht="15" hidden="1" x14ac:dyDescent="0.25">
      <c r="A385" s="102"/>
      <c r="B385" s="170" t="s">
        <v>158</v>
      </c>
      <c r="C385" s="98" t="s">
        <v>182</v>
      </c>
      <c r="D385" s="195">
        <v>2316</v>
      </c>
      <c r="E385" s="195">
        <v>3000</v>
      </c>
      <c r="F385" s="195">
        <v>3000</v>
      </c>
      <c r="G385" s="195">
        <v>3000</v>
      </c>
      <c r="H385" s="195">
        <v>3000</v>
      </c>
      <c r="I385" s="196"/>
      <c r="J385" s="195"/>
      <c r="K385" s="195"/>
    </row>
    <row r="386" spans="1:11" s="85" customFormat="1" ht="15" hidden="1" x14ac:dyDescent="0.25">
      <c r="A386" s="102"/>
      <c r="B386" s="170" t="s">
        <v>193</v>
      </c>
      <c r="C386" s="98" t="s">
        <v>182</v>
      </c>
      <c r="D386" s="195">
        <v>140000</v>
      </c>
      <c r="E386" s="195">
        <v>160000</v>
      </c>
      <c r="F386" s="195">
        <v>160000</v>
      </c>
      <c r="G386" s="195">
        <v>160000</v>
      </c>
      <c r="H386" s="195">
        <v>160000</v>
      </c>
      <c r="I386" s="196"/>
      <c r="J386" s="195"/>
      <c r="K386" s="195"/>
    </row>
    <row r="387" spans="1:11" s="349" customFormat="1" ht="30" hidden="1" x14ac:dyDescent="0.25">
      <c r="A387" s="344"/>
      <c r="B387" s="352" t="s">
        <v>194</v>
      </c>
      <c r="C387" s="346" t="s">
        <v>182</v>
      </c>
      <c r="D387" s="347">
        <f>SUM(D388:D398)</f>
        <v>84</v>
      </c>
      <c r="E387" s="347">
        <f>SUM(E388:E398)</f>
        <v>200</v>
      </c>
      <c r="F387" s="347">
        <f>SUM(F388:F399)</f>
        <v>200</v>
      </c>
      <c r="G387" s="347">
        <f>SUM(G388:G399)</f>
        <v>200</v>
      </c>
      <c r="H387" s="347">
        <f>SUM(H388:H399)</f>
        <v>200</v>
      </c>
      <c r="I387" s="348">
        <f>SUM(I388:I399)</f>
        <v>0</v>
      </c>
      <c r="J387" s="347"/>
      <c r="K387" s="347"/>
    </row>
    <row r="388" spans="1:11" s="85" customFormat="1" ht="15" hidden="1" x14ac:dyDescent="0.25">
      <c r="A388" s="102"/>
      <c r="B388" s="200" t="s">
        <v>170</v>
      </c>
      <c r="C388" s="98"/>
      <c r="D388" s="195">
        <v>0</v>
      </c>
      <c r="E388" s="195">
        <v>0</v>
      </c>
      <c r="F388" s="195"/>
      <c r="G388" s="195"/>
      <c r="H388" s="201"/>
      <c r="I388" s="196"/>
      <c r="J388" s="195"/>
      <c r="K388" s="195"/>
    </row>
    <row r="389" spans="1:11" s="85" customFormat="1" ht="15" hidden="1" x14ac:dyDescent="0.25">
      <c r="A389" s="102"/>
      <c r="B389" s="200" t="s">
        <v>161</v>
      </c>
      <c r="C389" s="98"/>
      <c r="D389" s="195">
        <v>0</v>
      </c>
      <c r="E389" s="195">
        <v>0</v>
      </c>
      <c r="F389" s="195"/>
      <c r="G389" s="195"/>
      <c r="H389" s="201"/>
      <c r="I389" s="196"/>
      <c r="J389" s="195"/>
      <c r="K389" s="195"/>
    </row>
    <row r="390" spans="1:11" s="85" customFormat="1" ht="15" hidden="1" x14ac:dyDescent="0.25">
      <c r="A390" s="102"/>
      <c r="B390" s="200" t="s">
        <v>168</v>
      </c>
      <c r="C390" s="98"/>
      <c r="D390" s="195">
        <v>0</v>
      </c>
      <c r="E390" s="195">
        <v>0</v>
      </c>
      <c r="F390" s="195"/>
      <c r="G390" s="195"/>
      <c r="H390" s="195"/>
      <c r="I390" s="196"/>
      <c r="J390" s="195"/>
      <c r="K390" s="195"/>
    </row>
    <row r="391" spans="1:11" s="85" customFormat="1" ht="15" hidden="1" x14ac:dyDescent="0.25">
      <c r="A391" s="102"/>
      <c r="B391" s="200" t="s">
        <v>169</v>
      </c>
      <c r="C391" s="98"/>
      <c r="D391" s="195">
        <v>0</v>
      </c>
      <c r="E391" s="195">
        <v>0</v>
      </c>
      <c r="F391" s="195"/>
      <c r="G391" s="195"/>
      <c r="H391" s="201"/>
      <c r="I391" s="196"/>
      <c r="J391" s="195"/>
      <c r="K391" s="195"/>
    </row>
    <row r="392" spans="1:11" s="85" customFormat="1" ht="15" hidden="1" x14ac:dyDescent="0.25">
      <c r="A392" s="102"/>
      <c r="B392" s="200" t="s">
        <v>176</v>
      </c>
      <c r="C392" s="98"/>
      <c r="D392" s="195">
        <v>0</v>
      </c>
      <c r="E392" s="195">
        <v>0</v>
      </c>
      <c r="F392" s="195"/>
      <c r="G392" s="195"/>
      <c r="H392" s="195"/>
      <c r="I392" s="196"/>
      <c r="J392" s="195"/>
      <c r="K392" s="195"/>
    </row>
    <row r="393" spans="1:11" s="85" customFormat="1" ht="15" hidden="1" x14ac:dyDescent="0.25">
      <c r="A393" s="102"/>
      <c r="B393" s="200" t="s">
        <v>195</v>
      </c>
      <c r="C393" s="98"/>
      <c r="D393" s="195">
        <v>0</v>
      </c>
      <c r="E393" s="195">
        <v>0</v>
      </c>
      <c r="F393" s="195"/>
      <c r="G393" s="195"/>
      <c r="H393" s="195"/>
      <c r="I393" s="196"/>
      <c r="J393" s="195"/>
      <c r="K393" s="195"/>
    </row>
    <row r="394" spans="1:11" s="85" customFormat="1" ht="15" hidden="1" x14ac:dyDescent="0.25">
      <c r="A394" s="102"/>
      <c r="B394" s="200" t="s">
        <v>174</v>
      </c>
      <c r="C394" s="98"/>
      <c r="D394" s="195">
        <v>0</v>
      </c>
      <c r="E394" s="195">
        <v>0</v>
      </c>
      <c r="F394" s="195"/>
      <c r="G394" s="195"/>
      <c r="H394" s="195"/>
      <c r="I394" s="196"/>
      <c r="J394" s="195"/>
      <c r="K394" s="195"/>
    </row>
    <row r="395" spans="1:11" s="85" customFormat="1" ht="15" hidden="1" x14ac:dyDescent="0.25">
      <c r="A395" s="102"/>
      <c r="B395" s="200" t="s">
        <v>172</v>
      </c>
      <c r="C395" s="98"/>
      <c r="D395" s="195">
        <v>0</v>
      </c>
      <c r="E395" s="195">
        <v>0</v>
      </c>
      <c r="F395" s="195"/>
      <c r="G395" s="195"/>
      <c r="H395" s="195"/>
      <c r="I395" s="196"/>
      <c r="J395" s="195"/>
      <c r="K395" s="195"/>
    </row>
    <row r="396" spans="1:11" s="85" customFormat="1" ht="15" hidden="1" x14ac:dyDescent="0.25">
      <c r="A396" s="102"/>
      <c r="B396" s="200" t="s">
        <v>178</v>
      </c>
      <c r="C396" s="98"/>
      <c r="D396" s="195">
        <v>0</v>
      </c>
      <c r="E396" s="195">
        <v>0</v>
      </c>
      <c r="F396" s="195"/>
      <c r="G396" s="195"/>
      <c r="H396" s="195"/>
      <c r="I396" s="196"/>
      <c r="J396" s="195"/>
      <c r="K396" s="195"/>
    </row>
    <row r="397" spans="1:11" s="85" customFormat="1" ht="15" hidden="1" x14ac:dyDescent="0.25">
      <c r="A397" s="102"/>
      <c r="B397" s="200" t="s">
        <v>196</v>
      </c>
      <c r="C397" s="98"/>
      <c r="D397" s="195">
        <v>84</v>
      </c>
      <c r="E397" s="195">
        <v>200</v>
      </c>
      <c r="F397" s="195">
        <v>200</v>
      </c>
      <c r="G397" s="195">
        <v>200</v>
      </c>
      <c r="H397" s="195">
        <v>200</v>
      </c>
      <c r="I397" s="196"/>
      <c r="J397" s="195"/>
      <c r="K397" s="195"/>
    </row>
    <row r="398" spans="1:11" s="85" customFormat="1" ht="15" hidden="1" x14ac:dyDescent="0.25">
      <c r="A398" s="102"/>
      <c r="B398" s="200" t="s">
        <v>197</v>
      </c>
      <c r="C398" s="98"/>
      <c r="D398" s="195">
        <v>0</v>
      </c>
      <c r="E398" s="195">
        <v>0</v>
      </c>
      <c r="F398" s="195"/>
      <c r="G398" s="195"/>
      <c r="H398" s="195"/>
      <c r="I398" s="196"/>
      <c r="J398" s="195"/>
      <c r="K398" s="195"/>
    </row>
    <row r="399" spans="1:11" s="85" customFormat="1" ht="15" hidden="1" x14ac:dyDescent="0.25">
      <c r="A399" s="102"/>
      <c r="B399" s="200" t="s">
        <v>198</v>
      </c>
      <c r="C399" s="98"/>
      <c r="D399" s="195">
        <v>0</v>
      </c>
      <c r="E399" s="195">
        <v>0</v>
      </c>
      <c r="F399" s="195"/>
      <c r="G399" s="195"/>
      <c r="H399" s="195"/>
      <c r="I399" s="196"/>
      <c r="J399" s="195"/>
      <c r="K399" s="195"/>
    </row>
    <row r="400" spans="1:11" s="85" customFormat="1" ht="15" hidden="1" x14ac:dyDescent="0.25">
      <c r="A400" s="102"/>
      <c r="B400" s="208" t="s">
        <v>199</v>
      </c>
      <c r="C400" s="98"/>
      <c r="D400" s="195">
        <v>0</v>
      </c>
      <c r="E400" s="195">
        <v>0</v>
      </c>
      <c r="F400" s="195"/>
      <c r="G400" s="195"/>
      <c r="H400" s="195"/>
      <c r="I400" s="196"/>
      <c r="J400" s="195"/>
      <c r="K400" s="195"/>
    </row>
    <row r="401" spans="1:11" s="85" customFormat="1" ht="15" hidden="1" x14ac:dyDescent="0.25">
      <c r="A401" s="102"/>
      <c r="B401" s="200"/>
      <c r="C401" s="98"/>
      <c r="D401" s="104">
        <v>0</v>
      </c>
      <c r="E401" s="104">
        <v>0</v>
      </c>
      <c r="F401" s="104"/>
      <c r="G401" s="104"/>
      <c r="H401" s="104"/>
      <c r="I401" s="105"/>
      <c r="J401" s="104"/>
      <c r="K401" s="104"/>
    </row>
    <row r="402" spans="1:11" s="343" customFormat="1" hidden="1" x14ac:dyDescent="0.25">
      <c r="A402" s="322" t="s">
        <v>23</v>
      </c>
      <c r="B402" s="323" t="s">
        <v>200</v>
      </c>
      <c r="C402" s="340" t="s">
        <v>87</v>
      </c>
      <c r="D402" s="325">
        <f t="shared" ref="D402:I402" si="109">SUM(D403,D418)</f>
        <v>4563</v>
      </c>
      <c r="E402" s="325">
        <f t="shared" si="109"/>
        <v>5161</v>
      </c>
      <c r="F402" s="325">
        <f t="shared" si="109"/>
        <v>5252</v>
      </c>
      <c r="G402" s="325">
        <f t="shared" si="109"/>
        <v>5345</v>
      </c>
      <c r="H402" s="325">
        <f t="shared" si="109"/>
        <v>5441</v>
      </c>
      <c r="I402" s="356">
        <f t="shared" si="109"/>
        <v>0</v>
      </c>
      <c r="J402" s="325"/>
      <c r="K402" s="325"/>
    </row>
    <row r="403" spans="1:11" s="343" customFormat="1" hidden="1" x14ac:dyDescent="0.25">
      <c r="A403" s="344" t="s">
        <v>25</v>
      </c>
      <c r="B403" s="350" t="s">
        <v>201</v>
      </c>
      <c r="C403" s="346" t="s">
        <v>202</v>
      </c>
      <c r="D403" s="347">
        <f>SUM(D404:D405,D416)</f>
        <v>987</v>
      </c>
      <c r="E403" s="347">
        <f>SUM(E404:E405,E416)</f>
        <v>1500</v>
      </c>
      <c r="F403" s="347">
        <f>SUM(F404:F405,F416)</f>
        <v>1500</v>
      </c>
      <c r="G403" s="347">
        <f>SUM(G404:G405,G416)</f>
        <v>1500</v>
      </c>
      <c r="H403" s="347">
        <f>SUM(H404:H405,H416)</f>
        <v>1500</v>
      </c>
      <c r="I403" s="348">
        <f>SUM(I405:I405,I416)</f>
        <v>0</v>
      </c>
      <c r="J403" s="347"/>
      <c r="K403" s="347"/>
    </row>
    <row r="404" spans="1:11" s="212" customFormat="1" ht="45" hidden="1" x14ac:dyDescent="0.25">
      <c r="A404" s="209"/>
      <c r="B404" s="205" t="s">
        <v>203</v>
      </c>
      <c r="C404" s="210" t="s">
        <v>202</v>
      </c>
      <c r="D404" s="1017">
        <v>950</v>
      </c>
      <c r="E404" s="1017">
        <v>1500</v>
      </c>
      <c r="F404" s="1017">
        <v>1500</v>
      </c>
      <c r="G404" s="1017">
        <v>1500</v>
      </c>
      <c r="H404" s="1017">
        <v>1500</v>
      </c>
      <c r="I404" s="211"/>
      <c r="J404" s="1017"/>
      <c r="K404" s="1017"/>
    </row>
    <row r="405" spans="1:11" s="353" customFormat="1" ht="30" hidden="1" x14ac:dyDescent="0.25">
      <c r="A405" s="351"/>
      <c r="B405" s="357" t="s">
        <v>194</v>
      </c>
      <c r="C405" s="346" t="s">
        <v>202</v>
      </c>
      <c r="D405" s="347">
        <f>SUM(D406:D414)</f>
        <v>37</v>
      </c>
      <c r="E405" s="347">
        <f>SUM(E406:E414)</f>
        <v>0</v>
      </c>
      <c r="F405" s="347">
        <f>SUM(F406:F415)</f>
        <v>0</v>
      </c>
      <c r="G405" s="347">
        <f>SUM(G406:G415)</f>
        <v>0</v>
      </c>
      <c r="H405" s="347">
        <f>SUM(H406:H415)</f>
        <v>0</v>
      </c>
      <c r="I405" s="348">
        <f>SUM(I406:I415)</f>
        <v>0</v>
      </c>
      <c r="J405" s="347"/>
      <c r="K405" s="347"/>
    </row>
    <row r="406" spans="1:11" hidden="1" x14ac:dyDescent="0.25">
      <c r="A406" s="150"/>
      <c r="B406" s="200" t="s">
        <v>166</v>
      </c>
      <c r="C406" s="98"/>
      <c r="D406" s="195">
        <v>0</v>
      </c>
      <c r="E406" s="195">
        <v>0</v>
      </c>
      <c r="F406" s="195">
        <v>0</v>
      </c>
      <c r="G406" s="195">
        <v>0</v>
      </c>
      <c r="H406" s="195">
        <v>0</v>
      </c>
      <c r="I406" s="196"/>
      <c r="J406" s="195"/>
      <c r="K406" s="195"/>
    </row>
    <row r="407" spans="1:11" hidden="1" x14ac:dyDescent="0.25">
      <c r="A407" s="150"/>
      <c r="B407" s="200" t="s">
        <v>164</v>
      </c>
      <c r="C407" s="98"/>
      <c r="D407" s="195">
        <v>0</v>
      </c>
      <c r="E407" s="195">
        <v>0</v>
      </c>
      <c r="F407" s="195">
        <v>0</v>
      </c>
      <c r="G407" s="195">
        <v>0</v>
      </c>
      <c r="H407" s="195">
        <v>0</v>
      </c>
      <c r="I407" s="196"/>
      <c r="J407" s="195"/>
      <c r="K407" s="195"/>
    </row>
    <row r="408" spans="1:11" hidden="1" x14ac:dyDescent="0.25">
      <c r="A408" s="150"/>
      <c r="B408" s="200" t="s">
        <v>165</v>
      </c>
      <c r="C408" s="98"/>
      <c r="D408" s="195">
        <v>0</v>
      </c>
      <c r="E408" s="195">
        <v>0</v>
      </c>
      <c r="F408" s="195">
        <v>0</v>
      </c>
      <c r="G408" s="195">
        <v>0</v>
      </c>
      <c r="H408" s="195">
        <v>0</v>
      </c>
      <c r="I408" s="196"/>
      <c r="J408" s="195"/>
      <c r="K408" s="195"/>
    </row>
    <row r="409" spans="1:11" hidden="1" x14ac:dyDescent="0.25">
      <c r="A409" s="150"/>
      <c r="B409" s="200" t="s">
        <v>204</v>
      </c>
      <c r="C409" s="98"/>
      <c r="D409" s="195">
        <v>7</v>
      </c>
      <c r="E409" s="195">
        <v>0</v>
      </c>
      <c r="F409" s="195">
        <v>0</v>
      </c>
      <c r="G409" s="195">
        <v>0</v>
      </c>
      <c r="H409" s="195">
        <v>0</v>
      </c>
      <c r="I409" s="196"/>
      <c r="J409" s="195"/>
      <c r="K409" s="195"/>
    </row>
    <row r="410" spans="1:11" hidden="1" x14ac:dyDescent="0.25">
      <c r="A410" s="150"/>
      <c r="B410" s="200" t="s">
        <v>167</v>
      </c>
      <c r="C410" s="98"/>
      <c r="D410" s="195">
        <v>0</v>
      </c>
      <c r="E410" s="195">
        <v>0</v>
      </c>
      <c r="F410" s="195">
        <v>0</v>
      </c>
      <c r="G410" s="195">
        <v>0</v>
      </c>
      <c r="H410" s="195">
        <v>0</v>
      </c>
      <c r="I410" s="196"/>
      <c r="J410" s="195"/>
      <c r="K410" s="195"/>
    </row>
    <row r="411" spans="1:11" hidden="1" x14ac:dyDescent="0.25">
      <c r="A411" s="150"/>
      <c r="B411" s="200" t="s">
        <v>176</v>
      </c>
      <c r="C411" s="98"/>
      <c r="D411" s="195">
        <v>30</v>
      </c>
      <c r="E411" s="195">
        <v>0</v>
      </c>
      <c r="F411" s="195">
        <v>0</v>
      </c>
      <c r="G411" s="195">
        <v>0</v>
      </c>
      <c r="H411" s="195">
        <v>0</v>
      </c>
      <c r="I411" s="196"/>
      <c r="J411" s="195"/>
      <c r="K411" s="195"/>
    </row>
    <row r="412" spans="1:11" hidden="1" x14ac:dyDescent="0.25">
      <c r="A412" s="150"/>
      <c r="B412" s="200" t="s">
        <v>171</v>
      </c>
      <c r="C412" s="98"/>
      <c r="D412" s="195">
        <v>0</v>
      </c>
      <c r="E412" s="195">
        <v>0</v>
      </c>
      <c r="F412" s="195">
        <v>0</v>
      </c>
      <c r="G412" s="195">
        <v>0</v>
      </c>
      <c r="H412" s="195">
        <v>0</v>
      </c>
      <c r="I412" s="196"/>
      <c r="J412" s="195"/>
      <c r="K412" s="195"/>
    </row>
    <row r="413" spans="1:11" hidden="1" x14ac:dyDescent="0.25">
      <c r="A413" s="150"/>
      <c r="B413" s="200" t="s">
        <v>205</v>
      </c>
      <c r="C413" s="98"/>
      <c r="D413" s="195">
        <v>0</v>
      </c>
      <c r="E413" s="195">
        <v>0</v>
      </c>
      <c r="F413" s="195">
        <v>0</v>
      </c>
      <c r="G413" s="195">
        <v>0</v>
      </c>
      <c r="H413" s="195">
        <v>0</v>
      </c>
      <c r="I413" s="196"/>
      <c r="J413" s="195"/>
      <c r="K413" s="195"/>
    </row>
    <row r="414" spans="1:11" hidden="1" x14ac:dyDescent="0.25">
      <c r="A414" s="150"/>
      <c r="B414" s="200" t="s">
        <v>334</v>
      </c>
      <c r="C414" s="98"/>
      <c r="D414" s="195">
        <v>0</v>
      </c>
      <c r="E414" s="195">
        <v>0</v>
      </c>
      <c r="F414" s="195">
        <v>0</v>
      </c>
      <c r="G414" s="195">
        <v>0</v>
      </c>
      <c r="H414" s="195">
        <v>0</v>
      </c>
      <c r="I414" s="196"/>
      <c r="J414" s="195"/>
      <c r="K414" s="195"/>
    </row>
    <row r="415" spans="1:11" hidden="1" x14ac:dyDescent="0.25">
      <c r="A415" s="150"/>
      <c r="B415" s="200" t="s">
        <v>198</v>
      </c>
      <c r="C415" s="98"/>
      <c r="D415" s="195">
        <v>0</v>
      </c>
      <c r="E415" s="195">
        <v>0</v>
      </c>
      <c r="F415" s="195">
        <v>0</v>
      </c>
      <c r="G415" s="195">
        <v>0</v>
      </c>
      <c r="H415" s="195">
        <v>0</v>
      </c>
      <c r="I415" s="196"/>
      <c r="J415" s="195"/>
      <c r="K415" s="195"/>
    </row>
    <row r="416" spans="1:11" hidden="1" x14ac:dyDescent="0.25">
      <c r="A416" s="150"/>
      <c r="B416" s="214" t="s">
        <v>207</v>
      </c>
      <c r="C416" s="98"/>
      <c r="D416" s="195">
        <v>0</v>
      </c>
      <c r="E416" s="195">
        <v>0</v>
      </c>
      <c r="F416" s="195">
        <v>0</v>
      </c>
      <c r="G416" s="195">
        <v>0</v>
      </c>
      <c r="H416" s="195">
        <v>0</v>
      </c>
      <c r="I416" s="196"/>
      <c r="J416" s="195"/>
      <c r="K416" s="195"/>
    </row>
    <row r="417" spans="1:15" hidden="1" x14ac:dyDescent="0.25">
      <c r="A417" s="150"/>
      <c r="B417" s="214"/>
      <c r="C417" s="98"/>
      <c r="D417" s="104">
        <v>0</v>
      </c>
      <c r="E417" s="104">
        <v>0</v>
      </c>
      <c r="F417" s="104">
        <v>0</v>
      </c>
      <c r="G417" s="104">
        <v>0</v>
      </c>
      <c r="H417" s="104">
        <v>0</v>
      </c>
      <c r="I417" s="105"/>
      <c r="J417" s="104"/>
      <c r="K417" s="104"/>
    </row>
    <row r="418" spans="1:15" s="343" customFormat="1" hidden="1" x14ac:dyDescent="0.25">
      <c r="A418" s="344" t="s">
        <v>208</v>
      </c>
      <c r="B418" s="350" t="s">
        <v>209</v>
      </c>
      <c r="C418" s="346" t="s">
        <v>210</v>
      </c>
      <c r="D418" s="358">
        <f t="shared" ref="D418:I418" si="110">SUM(D419:D419)</f>
        <v>3576</v>
      </c>
      <c r="E418" s="358">
        <f t="shared" si="110"/>
        <v>3661</v>
      </c>
      <c r="F418" s="358">
        <f t="shared" si="110"/>
        <v>3752</v>
      </c>
      <c r="G418" s="358">
        <f t="shared" si="110"/>
        <v>3845</v>
      </c>
      <c r="H418" s="358">
        <f t="shared" si="110"/>
        <v>3941</v>
      </c>
      <c r="I418" s="359">
        <f t="shared" si="110"/>
        <v>0</v>
      </c>
      <c r="J418" s="358"/>
      <c r="K418" s="358"/>
    </row>
    <row r="419" spans="1:15" s="144" customFormat="1" hidden="1" x14ac:dyDescent="0.25">
      <c r="A419" s="137"/>
      <c r="B419" s="214" t="s">
        <v>211</v>
      </c>
      <c r="C419" s="98" t="s">
        <v>210</v>
      </c>
      <c r="D419" s="360">
        <v>3576</v>
      </c>
      <c r="E419" s="360">
        <v>3661</v>
      </c>
      <c r="F419" s="360">
        <v>3752</v>
      </c>
      <c r="G419" s="360">
        <v>3845</v>
      </c>
      <c r="H419" s="360">
        <v>3941</v>
      </c>
      <c r="I419" s="196"/>
      <c r="J419" s="360"/>
      <c r="K419" s="360"/>
    </row>
    <row r="420" spans="1:15" hidden="1" x14ac:dyDescent="0.25">
      <c r="A420" s="150"/>
      <c r="B420" s="197"/>
      <c r="C420" s="98"/>
      <c r="D420" s="308"/>
      <c r="E420" s="308"/>
      <c r="F420" s="308"/>
      <c r="G420" s="308"/>
      <c r="H420" s="308"/>
      <c r="I420" s="105"/>
      <c r="J420" s="308"/>
      <c r="K420" s="308"/>
    </row>
    <row r="421" spans="1:15" s="366" customFormat="1" hidden="1" x14ac:dyDescent="0.25">
      <c r="A421" s="361" t="s">
        <v>27</v>
      </c>
      <c r="B421" s="362" t="s">
        <v>212</v>
      </c>
      <c r="C421" s="363" t="s">
        <v>87</v>
      </c>
      <c r="D421" s="364">
        <f>SUM(D422)</f>
        <v>61494</v>
      </c>
      <c r="E421" s="364">
        <f>SUM(E422)</f>
        <v>60990</v>
      </c>
      <c r="F421" s="364">
        <f>SUM(F422)</f>
        <v>4409</v>
      </c>
      <c r="G421" s="364">
        <f>SUM(G422)</f>
        <v>0</v>
      </c>
      <c r="H421" s="364">
        <f>SUM(H422)</f>
        <v>0</v>
      </c>
      <c r="I421" s="365" t="e">
        <f>SUM(I422,"$#ODWOŁANIE$#ODWOŁANIE:$#ODWOŁANIE$#ODWOŁANIE","$#ODWOŁANIE$#ODWOŁANIE","$#ODWOŁANIE$#ODWOŁANIE","$#ODWOŁANIE$#ODWOŁANIE","$#ODWOŁANIE$#ODWOŁANIE:$#ODWOŁANIE$#ODWOŁANIE")</f>
        <v>#VALUE!</v>
      </c>
      <c r="J421" s="364"/>
      <c r="K421" s="364"/>
    </row>
    <row r="422" spans="1:15" s="372" customFormat="1" ht="15" hidden="1" x14ac:dyDescent="0.25">
      <c r="A422" s="367"/>
      <c r="B422" s="368" t="s">
        <v>147</v>
      </c>
      <c r="C422" s="369" t="s">
        <v>87</v>
      </c>
      <c r="D422" s="370">
        <f t="shared" ref="D422:I422" si="111">SUM(D423:D424)</f>
        <v>61494</v>
      </c>
      <c r="E422" s="370">
        <f t="shared" si="111"/>
        <v>60990</v>
      </c>
      <c r="F422" s="370">
        <f t="shared" si="111"/>
        <v>4409</v>
      </c>
      <c r="G422" s="370">
        <f t="shared" si="111"/>
        <v>0</v>
      </c>
      <c r="H422" s="370">
        <f t="shared" si="111"/>
        <v>0</v>
      </c>
      <c r="I422" s="371">
        <f t="shared" si="111"/>
        <v>0</v>
      </c>
      <c r="J422" s="370"/>
      <c r="K422" s="370"/>
    </row>
    <row r="423" spans="1:15" s="44" customFormat="1" ht="15" hidden="1" x14ac:dyDescent="0.25">
      <c r="A423" s="102"/>
      <c r="B423" s="103" t="s">
        <v>213</v>
      </c>
      <c r="C423" s="98" t="s">
        <v>214</v>
      </c>
      <c r="D423" s="360">
        <v>61494</v>
      </c>
      <c r="E423" s="360">
        <v>60990</v>
      </c>
      <c r="F423" s="360">
        <v>4409</v>
      </c>
      <c r="G423" s="360">
        <v>0</v>
      </c>
      <c r="H423" s="360">
        <v>0</v>
      </c>
      <c r="I423" s="196"/>
      <c r="J423" s="360"/>
      <c r="K423" s="360"/>
    </row>
    <row r="424" spans="1:15" s="44" customFormat="1" ht="15" hidden="1" x14ac:dyDescent="0.25">
      <c r="A424" s="102"/>
      <c r="B424" s="103" t="s">
        <v>215</v>
      </c>
      <c r="C424" s="98" t="s">
        <v>216</v>
      </c>
      <c r="D424" s="360">
        <v>0</v>
      </c>
      <c r="E424" s="360">
        <v>0</v>
      </c>
      <c r="F424" s="360">
        <v>0</v>
      </c>
      <c r="G424" s="360">
        <v>0</v>
      </c>
      <c r="H424" s="360">
        <v>0</v>
      </c>
      <c r="I424" s="196"/>
      <c r="J424" s="360"/>
      <c r="K424" s="360"/>
    </row>
    <row r="425" spans="1:15" hidden="1" x14ac:dyDescent="0.25">
      <c r="A425" s="150"/>
      <c r="B425" s="208"/>
      <c r="C425" s="98"/>
      <c r="D425" s="308"/>
      <c r="E425" s="308"/>
      <c r="F425" s="308"/>
      <c r="G425" s="308"/>
      <c r="H425" s="308"/>
      <c r="I425" s="105"/>
      <c r="J425" s="308"/>
      <c r="K425" s="308"/>
    </row>
    <row r="426" spans="1:15" s="343" customFormat="1" hidden="1" x14ac:dyDescent="0.25">
      <c r="A426" s="344" t="s">
        <v>29</v>
      </c>
      <c r="B426" s="362" t="s">
        <v>217</v>
      </c>
      <c r="C426" s="346" t="s">
        <v>87</v>
      </c>
      <c r="D426" s="347">
        <f t="shared" ref="D426:I426" si="112">SUM(D428,D432,D434,D430,D436,D466)</f>
        <v>118267</v>
      </c>
      <c r="E426" s="347">
        <f t="shared" si="112"/>
        <v>120901</v>
      </c>
      <c r="F426" s="347">
        <f t="shared" si="112"/>
        <v>122777</v>
      </c>
      <c r="G426" s="347">
        <f t="shared" si="112"/>
        <v>126288</v>
      </c>
      <c r="H426" s="347">
        <f t="shared" si="112"/>
        <v>129191</v>
      </c>
      <c r="I426" s="348" t="e">
        <f t="shared" si="112"/>
        <v>#VALUE!</v>
      </c>
      <c r="J426" s="347"/>
      <c r="K426" s="347"/>
    </row>
    <row r="427" spans="1:15" s="343" customFormat="1" hidden="1" x14ac:dyDescent="0.25">
      <c r="A427" s="344" t="s">
        <v>93</v>
      </c>
      <c r="B427" s="350" t="s">
        <v>218</v>
      </c>
      <c r="C427" s="346" t="s">
        <v>87</v>
      </c>
      <c r="D427" s="347">
        <f>SUM(D428,D430)</f>
        <v>53482</v>
      </c>
      <c r="E427" s="347">
        <f>SUM(E428,E430)</f>
        <v>53482</v>
      </c>
      <c r="F427" s="347">
        <f>SUM(F428,F430)</f>
        <v>54946</v>
      </c>
      <c r="G427" s="347">
        <f>SUM(G428,G430)</f>
        <v>56451</v>
      </c>
      <c r="H427" s="347">
        <f>SUM(H428,H430)</f>
        <v>57998</v>
      </c>
      <c r="I427" s="348"/>
      <c r="J427" s="347"/>
      <c r="K427" s="347"/>
    </row>
    <row r="428" spans="1:15" s="343" customFormat="1" hidden="1" x14ac:dyDescent="0.25">
      <c r="A428" s="344" t="s">
        <v>219</v>
      </c>
      <c r="B428" s="350" t="s">
        <v>220</v>
      </c>
      <c r="C428" s="346" t="s">
        <v>87</v>
      </c>
      <c r="D428" s="347">
        <f t="shared" ref="D428:I428" si="113">SUM(D429:D429)</f>
        <v>52282</v>
      </c>
      <c r="E428" s="347">
        <f t="shared" si="113"/>
        <v>52282</v>
      </c>
      <c r="F428" s="347">
        <f t="shared" si="113"/>
        <v>53746</v>
      </c>
      <c r="G428" s="347">
        <f t="shared" si="113"/>
        <v>55251</v>
      </c>
      <c r="H428" s="347">
        <f t="shared" si="113"/>
        <v>56798</v>
      </c>
      <c r="I428" s="348">
        <f t="shared" si="113"/>
        <v>0</v>
      </c>
      <c r="J428" s="347"/>
      <c r="K428" s="347"/>
    </row>
    <row r="429" spans="1:15" hidden="1" x14ac:dyDescent="0.25">
      <c r="A429" s="150"/>
      <c r="B429" s="103" t="s">
        <v>150</v>
      </c>
      <c r="C429" s="98" t="s">
        <v>221</v>
      </c>
      <c r="D429" s="373">
        <v>52282</v>
      </c>
      <c r="E429" s="374">
        <v>52282</v>
      </c>
      <c r="F429" s="374">
        <v>53746</v>
      </c>
      <c r="G429" s="374">
        <v>55251</v>
      </c>
      <c r="H429" s="374">
        <v>56798</v>
      </c>
      <c r="I429" s="105"/>
      <c r="J429" s="374"/>
      <c r="K429" s="374"/>
    </row>
    <row r="430" spans="1:15" s="343" customFormat="1" hidden="1" x14ac:dyDescent="0.25">
      <c r="A430" s="344" t="s">
        <v>222</v>
      </c>
      <c r="B430" s="350" t="s">
        <v>223</v>
      </c>
      <c r="C430" s="346" t="s">
        <v>87</v>
      </c>
      <c r="D430" s="375">
        <f>SUM(D431)</f>
        <v>1200</v>
      </c>
      <c r="E430" s="376">
        <f>SUM(E431)</f>
        <v>1200</v>
      </c>
      <c r="F430" s="376">
        <f>SUM(F431:F431)</f>
        <v>1200</v>
      </c>
      <c r="G430" s="376">
        <f>SUM(G431:G431)</f>
        <v>1200</v>
      </c>
      <c r="H430" s="376">
        <f>SUM(H431:H431)</f>
        <v>1200</v>
      </c>
      <c r="I430" s="348">
        <f>SUM(I431:I431)</f>
        <v>0</v>
      </c>
      <c r="J430" s="376"/>
      <c r="K430" s="376"/>
    </row>
    <row r="431" spans="1:15" hidden="1" x14ac:dyDescent="0.25">
      <c r="A431" s="150"/>
      <c r="B431" s="103" t="s">
        <v>150</v>
      </c>
      <c r="C431" s="98" t="s">
        <v>224</v>
      </c>
      <c r="D431" s="377">
        <v>1200</v>
      </c>
      <c r="E431" s="377">
        <v>1200</v>
      </c>
      <c r="F431" s="377">
        <v>1200</v>
      </c>
      <c r="G431" s="377">
        <v>1200</v>
      </c>
      <c r="H431" s="377">
        <v>1200</v>
      </c>
      <c r="I431" s="196"/>
      <c r="J431" s="377"/>
      <c r="K431" s="377"/>
      <c r="L431" s="227"/>
      <c r="M431" s="227"/>
      <c r="N431" s="227"/>
      <c r="O431" s="227"/>
    </row>
    <row r="432" spans="1:15" s="343" customFormat="1" hidden="1" x14ac:dyDescent="0.25">
      <c r="A432" s="344" t="s">
        <v>225</v>
      </c>
      <c r="B432" s="350" t="s">
        <v>226</v>
      </c>
      <c r="C432" s="346" t="s">
        <v>87</v>
      </c>
      <c r="D432" s="375">
        <f t="shared" ref="D432:I432" si="114">SUM(D433:D433)</f>
        <v>9444</v>
      </c>
      <c r="E432" s="376">
        <f t="shared" si="114"/>
        <v>9392</v>
      </c>
      <c r="F432" s="376">
        <f t="shared" si="114"/>
        <v>9654</v>
      </c>
      <c r="G432" s="376">
        <f t="shared" si="114"/>
        <v>9924</v>
      </c>
      <c r="H432" s="376">
        <f t="shared" si="114"/>
        <v>10200</v>
      </c>
      <c r="I432" s="348">
        <f t="shared" si="114"/>
        <v>0</v>
      </c>
      <c r="J432" s="376"/>
      <c r="K432" s="376"/>
    </row>
    <row r="433" spans="1:17" hidden="1" x14ac:dyDescent="0.25">
      <c r="A433" s="150"/>
      <c r="B433" s="103" t="s">
        <v>150</v>
      </c>
      <c r="C433" s="98" t="s">
        <v>227</v>
      </c>
      <c r="D433" s="377">
        <v>9444</v>
      </c>
      <c r="E433" s="374">
        <v>9392</v>
      </c>
      <c r="F433" s="374">
        <v>9654</v>
      </c>
      <c r="G433" s="374">
        <v>9924</v>
      </c>
      <c r="H433" s="374">
        <v>10200</v>
      </c>
      <c r="I433" s="105"/>
      <c r="J433" s="374"/>
      <c r="K433" s="374"/>
    </row>
    <row r="434" spans="1:17" s="343" customFormat="1" hidden="1" x14ac:dyDescent="0.25">
      <c r="A434" s="344" t="s">
        <v>228</v>
      </c>
      <c r="B434" s="350" t="s">
        <v>229</v>
      </c>
      <c r="C434" s="346" t="s">
        <v>87</v>
      </c>
      <c r="D434" s="375">
        <f t="shared" ref="D434:I434" si="115">SUM(D435:D435)</f>
        <v>1327</v>
      </c>
      <c r="E434" s="376">
        <f t="shared" si="115"/>
        <v>1311</v>
      </c>
      <c r="F434" s="376">
        <f t="shared" si="115"/>
        <v>1348</v>
      </c>
      <c r="G434" s="376">
        <f t="shared" si="115"/>
        <v>1386</v>
      </c>
      <c r="H434" s="376">
        <f t="shared" si="115"/>
        <v>1425</v>
      </c>
      <c r="I434" s="348">
        <f t="shared" si="115"/>
        <v>0</v>
      </c>
      <c r="J434" s="376"/>
      <c r="K434" s="376"/>
    </row>
    <row r="435" spans="1:17" ht="15" hidden="1" customHeight="1" x14ac:dyDescent="0.25">
      <c r="A435" s="150"/>
      <c r="B435" s="103" t="s">
        <v>150</v>
      </c>
      <c r="C435" s="98" t="s">
        <v>230</v>
      </c>
      <c r="D435" s="377">
        <v>1327</v>
      </c>
      <c r="E435" s="374">
        <v>1311</v>
      </c>
      <c r="F435" s="374">
        <v>1348</v>
      </c>
      <c r="G435" s="374">
        <v>1386</v>
      </c>
      <c r="H435" s="374">
        <v>1425</v>
      </c>
      <c r="I435" s="105"/>
      <c r="J435" s="374"/>
      <c r="K435" s="374"/>
      <c r="L435" s="230"/>
      <c r="M435" s="230"/>
      <c r="N435" s="230"/>
      <c r="O435" s="230"/>
    </row>
    <row r="436" spans="1:17" s="343" customFormat="1" hidden="1" x14ac:dyDescent="0.25">
      <c r="A436" s="344" t="s">
        <v>231</v>
      </c>
      <c r="B436" s="350" t="s">
        <v>232</v>
      </c>
      <c r="C436" s="346" t="s">
        <v>87</v>
      </c>
      <c r="D436" s="347">
        <f t="shared" ref="D436:I436" si="116">SUM(D437:D437)</f>
        <v>54014</v>
      </c>
      <c r="E436" s="347">
        <f t="shared" si="116"/>
        <v>56716</v>
      </c>
      <c r="F436" s="347">
        <f t="shared" si="116"/>
        <v>56829</v>
      </c>
      <c r="G436" s="347">
        <f t="shared" si="116"/>
        <v>58527</v>
      </c>
      <c r="H436" s="347">
        <f t="shared" si="116"/>
        <v>59568</v>
      </c>
      <c r="I436" s="348" t="e">
        <f t="shared" si="116"/>
        <v>#VALUE!</v>
      </c>
      <c r="J436" s="347"/>
      <c r="K436" s="347"/>
    </row>
    <row r="437" spans="1:17" s="343" customFormat="1" hidden="1" x14ac:dyDescent="0.25">
      <c r="A437" s="344"/>
      <c r="B437" s="350" t="s">
        <v>150</v>
      </c>
      <c r="C437" s="346" t="s">
        <v>87</v>
      </c>
      <c r="D437" s="347">
        <f>SUM(D439,D450)</f>
        <v>54014</v>
      </c>
      <c r="E437" s="347">
        <f>SUM(E439,E450)</f>
        <v>56716</v>
      </c>
      <c r="F437" s="347">
        <f>SUM(F439,F450)</f>
        <v>56829</v>
      </c>
      <c r="G437" s="347">
        <f>SUM(G439,G450)</f>
        <v>58527</v>
      </c>
      <c r="H437" s="347">
        <f>SUM(H439,H450)</f>
        <v>59568</v>
      </c>
      <c r="I437" s="348" t="e">
        <f>SUM("$#ODWOŁANIE$#ODWOŁANIE",I445:I449,"$#ODWOŁANIE$#ODWOŁANIE",I454:I456,I459:I465,"$#ODWOŁANIE$#ODWOŁANIE","$#ODWOŁANIE$#ODWOŁANIE")</f>
        <v>#VALUE!</v>
      </c>
      <c r="J437" s="347"/>
      <c r="K437" s="347"/>
    </row>
    <row r="438" spans="1:17" hidden="1" x14ac:dyDescent="0.25">
      <c r="A438" s="150"/>
      <c r="B438" s="138" t="s">
        <v>88</v>
      </c>
      <c r="C438" s="98"/>
      <c r="D438" s="360"/>
      <c r="E438" s="360"/>
      <c r="F438" s="360"/>
      <c r="G438" s="360"/>
      <c r="H438" s="360"/>
      <c r="I438" s="196"/>
      <c r="J438" s="360"/>
      <c r="K438" s="360"/>
    </row>
    <row r="439" spans="1:17" s="343" customFormat="1" hidden="1" x14ac:dyDescent="0.25">
      <c r="A439" s="344" t="s">
        <v>233</v>
      </c>
      <c r="B439" s="350" t="s">
        <v>234</v>
      </c>
      <c r="C439" s="346" t="s">
        <v>235</v>
      </c>
      <c r="D439" s="347">
        <f>SUM(D440:D449)</f>
        <v>45755</v>
      </c>
      <c r="E439" s="347">
        <f>SUM(E440:E449)</f>
        <v>46846</v>
      </c>
      <c r="F439" s="347">
        <f>SUM(F440:F449)</f>
        <v>48006</v>
      </c>
      <c r="G439" s="347">
        <f>SUM(G440:G449)</f>
        <v>49091</v>
      </c>
      <c r="H439" s="347">
        <f>SUM(H440:H449)</f>
        <v>50302</v>
      </c>
      <c r="I439" s="348"/>
      <c r="J439" s="347"/>
      <c r="K439" s="347"/>
    </row>
    <row r="440" spans="1:17" hidden="1" x14ac:dyDescent="0.25">
      <c r="A440" s="150"/>
      <c r="B440" s="208" t="s">
        <v>236</v>
      </c>
      <c r="C440" s="98" t="s">
        <v>237</v>
      </c>
      <c r="D440" s="104">
        <v>2954</v>
      </c>
      <c r="E440" s="104">
        <v>3020</v>
      </c>
      <c r="F440" s="104">
        <v>3087</v>
      </c>
      <c r="G440" s="104">
        <v>3091</v>
      </c>
      <c r="H440" s="104">
        <v>3165</v>
      </c>
      <c r="I440" s="105"/>
      <c r="J440" s="104"/>
      <c r="K440" s="104"/>
    </row>
    <row r="441" spans="1:17" hidden="1" x14ac:dyDescent="0.25">
      <c r="A441" s="150"/>
      <c r="B441" s="208" t="s">
        <v>238</v>
      </c>
      <c r="C441" s="98" t="s">
        <v>239</v>
      </c>
      <c r="D441" s="104">
        <v>1414</v>
      </c>
      <c r="E441" s="104">
        <v>1446</v>
      </c>
      <c r="F441" s="104">
        <v>1480</v>
      </c>
      <c r="G441" s="104">
        <v>1475</v>
      </c>
      <c r="H441" s="104">
        <v>1508</v>
      </c>
      <c r="I441" s="105"/>
      <c r="J441" s="104"/>
      <c r="K441" s="104"/>
      <c r="M441" s="232"/>
      <c r="O441" s="232"/>
    </row>
    <row r="442" spans="1:17" hidden="1" x14ac:dyDescent="0.25">
      <c r="A442" s="150"/>
      <c r="B442" s="208" t="s">
        <v>69</v>
      </c>
      <c r="C442" s="98" t="s">
        <v>240</v>
      </c>
      <c r="D442" s="104">
        <v>1902</v>
      </c>
      <c r="E442" s="104">
        <v>1947</v>
      </c>
      <c r="F442" s="104">
        <v>1995</v>
      </c>
      <c r="G442" s="104">
        <v>2040</v>
      </c>
      <c r="H442" s="104">
        <v>2090</v>
      </c>
      <c r="I442" s="105"/>
      <c r="J442" s="104"/>
      <c r="K442" s="104"/>
      <c r="M442" s="717"/>
    </row>
    <row r="443" spans="1:17" hidden="1" x14ac:dyDescent="0.25">
      <c r="A443" s="150"/>
      <c r="B443" s="208" t="s">
        <v>241</v>
      </c>
      <c r="C443" s="98" t="s">
        <v>242</v>
      </c>
      <c r="D443" s="104">
        <v>824</v>
      </c>
      <c r="E443" s="104">
        <v>861</v>
      </c>
      <c r="F443" s="104">
        <v>882</v>
      </c>
      <c r="G443" s="104">
        <v>890</v>
      </c>
      <c r="H443" s="104">
        <v>911</v>
      </c>
      <c r="I443" s="105"/>
      <c r="J443" s="104"/>
      <c r="K443" s="104"/>
      <c r="M443" s="232"/>
      <c r="Q443" s="232"/>
    </row>
    <row r="444" spans="1:17" hidden="1" x14ac:dyDescent="0.25">
      <c r="A444" s="150"/>
      <c r="B444" s="208" t="s">
        <v>243</v>
      </c>
      <c r="C444" s="98" t="s">
        <v>244</v>
      </c>
      <c r="D444" s="104">
        <v>32136</v>
      </c>
      <c r="E444" s="104">
        <v>32084</v>
      </c>
      <c r="F444" s="104">
        <v>32989</v>
      </c>
      <c r="G444" s="104">
        <v>34117</v>
      </c>
      <c r="H444" s="104">
        <v>35067</v>
      </c>
      <c r="I444" s="105"/>
      <c r="J444" s="104"/>
      <c r="K444" s="104"/>
      <c r="L444" s="230"/>
      <c r="M444" s="230"/>
      <c r="N444" s="230"/>
      <c r="O444" s="230"/>
    </row>
    <row r="445" spans="1:17" hidden="1" x14ac:dyDescent="0.25">
      <c r="A445" s="150"/>
      <c r="B445" s="208" t="s">
        <v>245</v>
      </c>
      <c r="C445" s="98" t="s">
        <v>246</v>
      </c>
      <c r="D445" s="195">
        <v>125</v>
      </c>
      <c r="E445" s="195">
        <v>125</v>
      </c>
      <c r="F445" s="195">
        <v>125</v>
      </c>
      <c r="G445" s="195">
        <v>125</v>
      </c>
      <c r="H445" s="195">
        <v>125</v>
      </c>
      <c r="I445" s="196"/>
      <c r="J445" s="195"/>
      <c r="K445" s="195"/>
      <c r="L445" s="230"/>
      <c r="M445" s="230"/>
      <c r="N445" s="230"/>
      <c r="O445" s="230"/>
    </row>
    <row r="446" spans="1:17" hidden="1" x14ac:dyDescent="0.25">
      <c r="A446" s="150"/>
      <c r="B446" s="208" t="s">
        <v>247</v>
      </c>
      <c r="C446" s="98" t="s">
        <v>248</v>
      </c>
      <c r="D446" s="195">
        <v>233</v>
      </c>
      <c r="E446" s="195">
        <v>242</v>
      </c>
      <c r="F446" s="195">
        <v>247</v>
      </c>
      <c r="G446" s="195">
        <v>248</v>
      </c>
      <c r="H446" s="195">
        <v>253</v>
      </c>
      <c r="I446" s="196"/>
      <c r="J446" s="195"/>
      <c r="K446" s="195"/>
      <c r="L446" s="230"/>
      <c r="M446" s="230"/>
      <c r="N446" s="230"/>
      <c r="O446" s="230"/>
    </row>
    <row r="447" spans="1:17" hidden="1" x14ac:dyDescent="0.25">
      <c r="A447" s="150"/>
      <c r="B447" s="208" t="s">
        <v>249</v>
      </c>
      <c r="C447" s="98" t="s">
        <v>250</v>
      </c>
      <c r="D447" s="195">
        <v>731</v>
      </c>
      <c r="E447" s="195">
        <v>745</v>
      </c>
      <c r="F447" s="195">
        <v>763</v>
      </c>
      <c r="G447" s="195">
        <v>770</v>
      </c>
      <c r="H447" s="195">
        <v>788</v>
      </c>
      <c r="I447" s="196"/>
      <c r="J447" s="195"/>
      <c r="K447" s="195"/>
    </row>
    <row r="448" spans="1:17" hidden="1" x14ac:dyDescent="0.25">
      <c r="A448" s="150"/>
      <c r="B448" s="208" t="s">
        <v>251</v>
      </c>
      <c r="C448" s="98" t="s">
        <v>252</v>
      </c>
      <c r="D448" s="195">
        <v>26</v>
      </c>
      <c r="E448" s="195">
        <v>26</v>
      </c>
      <c r="F448" s="195">
        <v>27</v>
      </c>
      <c r="G448" s="195">
        <v>28</v>
      </c>
      <c r="H448" s="195">
        <v>28</v>
      </c>
      <c r="I448" s="196"/>
      <c r="J448" s="195"/>
      <c r="K448" s="195"/>
    </row>
    <row r="449" spans="1:15" hidden="1" x14ac:dyDescent="0.25">
      <c r="A449" s="150"/>
      <c r="B449" s="208" t="s">
        <v>253</v>
      </c>
      <c r="C449" s="98" t="s">
        <v>254</v>
      </c>
      <c r="D449" s="195">
        <v>5410</v>
      </c>
      <c r="E449" s="195">
        <v>6350</v>
      </c>
      <c r="F449" s="195">
        <v>6411</v>
      </c>
      <c r="G449" s="195">
        <v>6307</v>
      </c>
      <c r="H449" s="195">
        <v>6367</v>
      </c>
      <c r="I449" s="196"/>
      <c r="J449" s="195"/>
      <c r="K449" s="195"/>
    </row>
    <row r="450" spans="1:15" s="343" customFormat="1" hidden="1" x14ac:dyDescent="0.25">
      <c r="A450" s="344" t="s">
        <v>255</v>
      </c>
      <c r="B450" s="350" t="s">
        <v>256</v>
      </c>
      <c r="C450" s="346" t="s">
        <v>87</v>
      </c>
      <c r="D450" s="347">
        <f>D451+D465</f>
        <v>8259</v>
      </c>
      <c r="E450" s="347">
        <f>E451+E465</f>
        <v>9870</v>
      </c>
      <c r="F450" s="347">
        <f>F451+F465</f>
        <v>8823</v>
      </c>
      <c r="G450" s="347">
        <f>G451+G465</f>
        <v>9436</v>
      </c>
      <c r="H450" s="347">
        <f>H451+H465</f>
        <v>9266</v>
      </c>
      <c r="I450" s="348"/>
      <c r="J450" s="347"/>
      <c r="K450" s="347"/>
    </row>
    <row r="451" spans="1:15" s="343" customFormat="1" hidden="1" x14ac:dyDescent="0.25">
      <c r="A451" s="344"/>
      <c r="B451" s="350" t="s">
        <v>335</v>
      </c>
      <c r="C451" s="346" t="s">
        <v>258</v>
      </c>
      <c r="D451" s="347">
        <f>SUM(D452:D464)</f>
        <v>8259</v>
      </c>
      <c r="E451" s="347">
        <f>SUM(E452:E464)</f>
        <v>9870</v>
      </c>
      <c r="F451" s="347">
        <f>SUM(F452:F464)</f>
        <v>8823</v>
      </c>
      <c r="G451" s="347">
        <f>SUM(G452:G464)</f>
        <v>9436</v>
      </c>
      <c r="H451" s="347">
        <f>SUM(H452:H464)</f>
        <v>9266</v>
      </c>
      <c r="I451" s="348">
        <f>SUM(I444:I444)</f>
        <v>0</v>
      </c>
      <c r="J451" s="347"/>
      <c r="K451" s="347"/>
    </row>
    <row r="452" spans="1:15" s="239" customFormat="1" hidden="1" x14ac:dyDescent="0.25">
      <c r="A452" s="235"/>
      <c r="B452" s="236" t="s">
        <v>259</v>
      </c>
      <c r="C452" s="237" t="s">
        <v>260</v>
      </c>
      <c r="D452" s="238">
        <v>1336</v>
      </c>
      <c r="E452" s="238">
        <v>1423</v>
      </c>
      <c r="F452" s="238">
        <v>1464</v>
      </c>
      <c r="G452" s="238">
        <v>1489</v>
      </c>
      <c r="H452" s="238">
        <v>1525</v>
      </c>
      <c r="I452" s="215" t="e">
        <f>SUM("$#ODWOŁANIE$#ODWOŁANIE:$#ODWOŁANIE$#ODWOŁANIE")</f>
        <v>#VALUE!</v>
      </c>
      <c r="J452" s="238"/>
      <c r="K452" s="238"/>
    </row>
    <row r="453" spans="1:15" hidden="1" x14ac:dyDescent="0.25">
      <c r="A453" s="150"/>
      <c r="B453" s="240" t="s">
        <v>261</v>
      </c>
      <c r="C453" s="98" t="s">
        <v>262</v>
      </c>
      <c r="D453" s="104">
        <v>120</v>
      </c>
      <c r="E453" s="104">
        <v>80</v>
      </c>
      <c r="F453" s="104">
        <v>80</v>
      </c>
      <c r="G453" s="104">
        <v>80</v>
      </c>
      <c r="H453" s="104">
        <v>80</v>
      </c>
      <c r="I453" s="105"/>
      <c r="J453" s="104"/>
      <c r="K453" s="104"/>
    </row>
    <row r="454" spans="1:15" hidden="1" x14ac:dyDescent="0.25">
      <c r="A454" s="150"/>
      <c r="B454" s="208" t="s">
        <v>263</v>
      </c>
      <c r="C454" s="98" t="s">
        <v>264</v>
      </c>
      <c r="D454" s="104">
        <v>336</v>
      </c>
      <c r="E454" s="104">
        <v>345</v>
      </c>
      <c r="F454" s="104">
        <v>354</v>
      </c>
      <c r="G454" s="104">
        <v>358</v>
      </c>
      <c r="H454" s="104">
        <v>367</v>
      </c>
      <c r="I454" s="105"/>
      <c r="J454" s="104"/>
      <c r="K454" s="104"/>
    </row>
    <row r="455" spans="1:15" hidden="1" x14ac:dyDescent="0.25">
      <c r="A455" s="150"/>
      <c r="B455" s="208" t="s">
        <v>265</v>
      </c>
      <c r="C455" s="98" t="s">
        <v>266</v>
      </c>
      <c r="D455" s="104">
        <v>1120</v>
      </c>
      <c r="E455" s="104">
        <v>1120</v>
      </c>
      <c r="F455" s="104">
        <v>1120</v>
      </c>
      <c r="G455" s="104">
        <v>1120</v>
      </c>
      <c r="H455" s="104">
        <v>1120</v>
      </c>
      <c r="I455" s="105"/>
      <c r="J455" s="104"/>
      <c r="K455" s="104"/>
    </row>
    <row r="456" spans="1:15" hidden="1" x14ac:dyDescent="0.25">
      <c r="A456" s="150"/>
      <c r="B456" s="208" t="s">
        <v>267</v>
      </c>
      <c r="C456" s="98" t="s">
        <v>268</v>
      </c>
      <c r="D456" s="104">
        <v>56</v>
      </c>
      <c r="E456" s="104">
        <v>58</v>
      </c>
      <c r="F456" s="104">
        <v>59</v>
      </c>
      <c r="G456" s="104">
        <v>60</v>
      </c>
      <c r="H456" s="104">
        <v>62</v>
      </c>
      <c r="I456" s="105"/>
      <c r="J456" s="104"/>
      <c r="K456" s="104"/>
    </row>
    <row r="457" spans="1:15" hidden="1" x14ac:dyDescent="0.25">
      <c r="A457" s="150"/>
      <c r="B457" s="208" t="s">
        <v>269</v>
      </c>
      <c r="C457" s="98" t="s">
        <v>270</v>
      </c>
      <c r="D457" s="104">
        <v>3</v>
      </c>
      <c r="E457" s="104">
        <v>3</v>
      </c>
      <c r="F457" s="104">
        <v>3</v>
      </c>
      <c r="G457" s="104">
        <v>3</v>
      </c>
      <c r="H457" s="104">
        <v>3</v>
      </c>
      <c r="I457" s="105"/>
      <c r="J457" s="104"/>
      <c r="K457" s="104"/>
    </row>
    <row r="458" spans="1:15" hidden="1" x14ac:dyDescent="0.25">
      <c r="A458" s="150"/>
      <c r="B458" s="208" t="s">
        <v>271</v>
      </c>
      <c r="C458" s="98" t="s">
        <v>272</v>
      </c>
      <c r="D458" s="104">
        <v>2</v>
      </c>
      <c r="E458" s="104">
        <v>2</v>
      </c>
      <c r="F458" s="104">
        <v>2</v>
      </c>
      <c r="G458" s="104">
        <v>1</v>
      </c>
      <c r="H458" s="104">
        <v>2</v>
      </c>
      <c r="I458" s="105"/>
      <c r="J458" s="104"/>
      <c r="K458" s="104"/>
      <c r="L458" s="230"/>
      <c r="M458" s="230"/>
      <c r="N458" s="230"/>
      <c r="O458" s="230"/>
    </row>
    <row r="459" spans="1:15" hidden="1" x14ac:dyDescent="0.25">
      <c r="A459" s="150"/>
      <c r="B459" s="208" t="s">
        <v>273</v>
      </c>
      <c r="C459" s="98" t="s">
        <v>274</v>
      </c>
      <c r="D459" s="195">
        <v>42</v>
      </c>
      <c r="E459" s="195">
        <v>43</v>
      </c>
      <c r="F459" s="195">
        <v>44</v>
      </c>
      <c r="G459" s="195">
        <v>45</v>
      </c>
      <c r="H459" s="195">
        <v>46</v>
      </c>
      <c r="I459" s="196"/>
      <c r="J459" s="195"/>
      <c r="K459" s="195"/>
    </row>
    <row r="460" spans="1:15" hidden="1" x14ac:dyDescent="0.25">
      <c r="A460" s="150"/>
      <c r="B460" s="208" t="s">
        <v>275</v>
      </c>
      <c r="C460" s="98" t="s">
        <v>276</v>
      </c>
      <c r="D460" s="195">
        <v>0</v>
      </c>
      <c r="E460" s="195">
        <v>0</v>
      </c>
      <c r="F460" s="195">
        <v>0</v>
      </c>
      <c r="G460" s="195">
        <v>0</v>
      </c>
      <c r="H460" s="195">
        <v>0</v>
      </c>
      <c r="I460" s="196"/>
      <c r="J460" s="195"/>
      <c r="K460" s="195"/>
    </row>
    <row r="461" spans="1:15" hidden="1" x14ac:dyDescent="0.25">
      <c r="A461" s="150"/>
      <c r="B461" s="208" t="s">
        <v>131</v>
      </c>
      <c r="C461" s="98" t="s">
        <v>277</v>
      </c>
      <c r="D461" s="195">
        <v>314</v>
      </c>
      <c r="E461" s="195">
        <v>311</v>
      </c>
      <c r="F461" s="195">
        <v>307</v>
      </c>
      <c r="G461" s="195">
        <v>302</v>
      </c>
      <c r="H461" s="195">
        <v>307</v>
      </c>
      <c r="I461" s="196"/>
      <c r="J461" s="195"/>
      <c r="K461" s="195"/>
      <c r="L461" s="230"/>
      <c r="M461" s="230"/>
      <c r="N461" s="230"/>
      <c r="O461" s="230"/>
    </row>
    <row r="462" spans="1:15" hidden="1" x14ac:dyDescent="0.25">
      <c r="A462" s="150"/>
      <c r="B462" s="208" t="s">
        <v>278</v>
      </c>
      <c r="C462" s="98" t="s">
        <v>279</v>
      </c>
      <c r="D462" s="195">
        <v>0</v>
      </c>
      <c r="E462" s="195">
        <v>0</v>
      </c>
      <c r="F462" s="195">
        <v>0</v>
      </c>
      <c r="G462" s="195">
        <v>0</v>
      </c>
      <c r="H462" s="195">
        <v>0</v>
      </c>
      <c r="I462" s="196"/>
      <c r="J462" s="195"/>
      <c r="K462" s="195"/>
      <c r="L462" s="241"/>
      <c r="M462" s="241"/>
      <c r="N462" s="241"/>
      <c r="O462" s="241"/>
    </row>
    <row r="463" spans="1:15" ht="15.75" hidden="1" customHeight="1" x14ac:dyDescent="0.25">
      <c r="A463" s="150"/>
      <c r="B463" s="208" t="s">
        <v>280</v>
      </c>
      <c r="C463" s="98" t="s">
        <v>281</v>
      </c>
      <c r="D463" s="195">
        <v>150</v>
      </c>
      <c r="E463" s="195">
        <v>0</v>
      </c>
      <c r="F463" s="195">
        <v>0</v>
      </c>
      <c r="G463" s="195">
        <v>0</v>
      </c>
      <c r="H463" s="195">
        <v>0</v>
      </c>
      <c r="I463" s="196"/>
      <c r="J463" s="195"/>
      <c r="K463" s="195"/>
    </row>
    <row r="464" spans="1:15" hidden="1" x14ac:dyDescent="0.25">
      <c r="A464" s="150"/>
      <c r="B464" s="208" t="s">
        <v>282</v>
      </c>
      <c r="C464" s="98" t="s">
        <v>283</v>
      </c>
      <c r="D464" s="104">
        <v>4780</v>
      </c>
      <c r="E464" s="104">
        <v>6485</v>
      </c>
      <c r="F464" s="104">
        <v>5390</v>
      </c>
      <c r="G464" s="104">
        <v>5978</v>
      </c>
      <c r="H464" s="104">
        <v>5754</v>
      </c>
      <c r="I464" s="105"/>
      <c r="J464" s="104"/>
      <c r="K464" s="104"/>
    </row>
    <row r="465" spans="1:15" hidden="1" x14ac:dyDescent="0.25">
      <c r="A465" s="150"/>
      <c r="B465" s="208" t="s">
        <v>71</v>
      </c>
      <c r="C465" s="98" t="s">
        <v>284</v>
      </c>
      <c r="D465" s="104"/>
      <c r="E465" s="104"/>
      <c r="F465" s="104"/>
      <c r="G465" s="104"/>
      <c r="H465" s="104"/>
      <c r="I465" s="100"/>
      <c r="J465" s="104"/>
      <c r="K465" s="104"/>
      <c r="L465" s="101"/>
    </row>
    <row r="466" spans="1:15" s="247" customFormat="1" ht="27.75" hidden="1" customHeight="1" x14ac:dyDescent="0.25">
      <c r="A466" s="242" t="s">
        <v>285</v>
      </c>
      <c r="B466" s="243" t="s">
        <v>286</v>
      </c>
      <c r="C466" s="244" t="s">
        <v>287</v>
      </c>
      <c r="D466" s="245"/>
      <c r="E466" s="245"/>
      <c r="F466" s="245"/>
      <c r="G466" s="245"/>
      <c r="H466" s="245"/>
      <c r="I466" s="246"/>
      <c r="J466" s="245"/>
      <c r="K466" s="245"/>
      <c r="L466" s="230"/>
      <c r="M466" s="230"/>
      <c r="N466" s="230"/>
      <c r="O466" s="230"/>
    </row>
    <row r="467" spans="1:15" s="353" customFormat="1" hidden="1" x14ac:dyDescent="0.25">
      <c r="A467" s="322" t="s">
        <v>31</v>
      </c>
      <c r="B467" s="378" t="s">
        <v>288</v>
      </c>
      <c r="C467" s="324" t="s">
        <v>87</v>
      </c>
      <c r="D467" s="325">
        <f t="shared" ref="D467:I467" si="117">SUM(D468,D473)</f>
        <v>130878</v>
      </c>
      <c r="E467" s="325">
        <f t="shared" si="117"/>
        <v>169473</v>
      </c>
      <c r="F467" s="325">
        <f t="shared" si="117"/>
        <v>194463</v>
      </c>
      <c r="G467" s="325">
        <f t="shared" si="117"/>
        <v>183057</v>
      </c>
      <c r="H467" s="325">
        <f t="shared" si="117"/>
        <v>181100</v>
      </c>
      <c r="I467" s="379">
        <f t="shared" si="117"/>
        <v>0</v>
      </c>
      <c r="J467" s="325"/>
      <c r="K467" s="325"/>
      <c r="L467" s="380"/>
      <c r="M467" s="380"/>
      <c r="N467" s="380"/>
      <c r="O467" s="380"/>
    </row>
    <row r="468" spans="1:15" s="353" customFormat="1" hidden="1" x14ac:dyDescent="0.25">
      <c r="A468" s="351" t="s">
        <v>33</v>
      </c>
      <c r="B468" s="381" t="s">
        <v>289</v>
      </c>
      <c r="C468" s="382" t="s">
        <v>87</v>
      </c>
      <c r="D468" s="383">
        <f t="shared" ref="D468:I468" si="118">SUM(D469:D469)</f>
        <v>41131</v>
      </c>
      <c r="E468" s="383">
        <f t="shared" si="118"/>
        <v>45573</v>
      </c>
      <c r="F468" s="383">
        <f t="shared" si="118"/>
        <v>45483</v>
      </c>
      <c r="G468" s="383">
        <f t="shared" si="118"/>
        <v>34077</v>
      </c>
      <c r="H468" s="383">
        <f t="shared" si="118"/>
        <v>32120</v>
      </c>
      <c r="I468" s="384">
        <f t="shared" si="118"/>
        <v>0</v>
      </c>
      <c r="J468" s="383"/>
      <c r="K468" s="383"/>
      <c r="L468" s="349"/>
      <c r="M468" s="349"/>
      <c r="N468" s="349"/>
      <c r="O468" s="349"/>
    </row>
    <row r="469" spans="1:15" s="353" customFormat="1" hidden="1" x14ac:dyDescent="0.25">
      <c r="A469" s="351"/>
      <c r="B469" s="350" t="s">
        <v>150</v>
      </c>
      <c r="C469" s="382" t="s">
        <v>290</v>
      </c>
      <c r="D469" s="383">
        <f t="shared" ref="D469:I469" si="119">SUM(D470,D472)</f>
        <v>41131</v>
      </c>
      <c r="E469" s="383">
        <f t="shared" si="119"/>
        <v>45573</v>
      </c>
      <c r="F469" s="383">
        <f t="shared" si="119"/>
        <v>45483</v>
      </c>
      <c r="G469" s="383">
        <f t="shared" si="119"/>
        <v>34077</v>
      </c>
      <c r="H469" s="383">
        <f t="shared" si="119"/>
        <v>32120</v>
      </c>
      <c r="I469" s="384">
        <f t="shared" si="119"/>
        <v>0</v>
      </c>
      <c r="J469" s="383"/>
      <c r="K469" s="383"/>
      <c r="L469" s="349"/>
      <c r="M469" s="349"/>
      <c r="N469" s="349"/>
      <c r="O469" s="349"/>
    </row>
    <row r="470" spans="1:15" hidden="1" x14ac:dyDescent="0.25">
      <c r="A470" s="150"/>
      <c r="B470" s="138" t="s">
        <v>291</v>
      </c>
      <c r="C470" s="98">
        <v>6110</v>
      </c>
      <c r="D470" s="104">
        <v>24883</v>
      </c>
      <c r="E470" s="104">
        <v>22318</v>
      </c>
      <c r="F470" s="104">
        <v>26818</v>
      </c>
      <c r="G470" s="104">
        <v>19819</v>
      </c>
      <c r="H470" s="104">
        <v>19319</v>
      </c>
      <c r="I470" s="100"/>
      <c r="J470" s="104"/>
      <c r="K470" s="104"/>
      <c r="L470" s="252"/>
      <c r="M470" s="252"/>
      <c r="N470" s="252"/>
      <c r="O470" s="252"/>
    </row>
    <row r="471" spans="1:15" s="353" customFormat="1" hidden="1" x14ac:dyDescent="0.25">
      <c r="A471" s="351"/>
      <c r="B471" s="345" t="s">
        <v>292</v>
      </c>
      <c r="C471" s="346" t="s">
        <v>87</v>
      </c>
      <c r="D471" s="358">
        <f t="shared" ref="D471:I471" si="120">SUM(D472:D472)</f>
        <v>16248</v>
      </c>
      <c r="E471" s="358">
        <f t="shared" si="120"/>
        <v>23255</v>
      </c>
      <c r="F471" s="358">
        <f t="shared" si="120"/>
        <v>18665</v>
      </c>
      <c r="G471" s="358">
        <f t="shared" si="120"/>
        <v>14258</v>
      </c>
      <c r="H471" s="358">
        <f t="shared" si="120"/>
        <v>12801</v>
      </c>
      <c r="I471" s="385">
        <f t="shared" si="120"/>
        <v>0</v>
      </c>
      <c r="J471" s="358"/>
      <c r="K471" s="358"/>
      <c r="L471" s="386"/>
      <c r="M471" s="386"/>
      <c r="N471" s="386"/>
      <c r="O471" s="386"/>
    </row>
    <row r="472" spans="1:15" hidden="1" x14ac:dyDescent="0.25">
      <c r="A472" s="150"/>
      <c r="B472" s="103" t="s">
        <v>293</v>
      </c>
      <c r="C472" s="98" t="s">
        <v>294</v>
      </c>
      <c r="D472" s="104">
        <v>16248</v>
      </c>
      <c r="E472" s="104">
        <v>23255</v>
      </c>
      <c r="F472" s="104">
        <v>18665</v>
      </c>
      <c r="G472" s="104">
        <v>14258</v>
      </c>
      <c r="H472" s="104">
        <v>12801</v>
      </c>
      <c r="I472" s="105"/>
      <c r="J472" s="104"/>
      <c r="K472" s="104"/>
      <c r="L472" s="85"/>
      <c r="M472" s="85"/>
      <c r="N472" s="85"/>
      <c r="O472" s="85"/>
    </row>
    <row r="473" spans="1:15" s="349" customFormat="1" ht="15" hidden="1" x14ac:dyDescent="0.25">
      <c r="A473" s="344" t="s">
        <v>34</v>
      </c>
      <c r="B473" s="345" t="s">
        <v>295</v>
      </c>
      <c r="C473" s="346" t="s">
        <v>87</v>
      </c>
      <c r="D473" s="347">
        <f t="shared" ref="D473:I473" si="121">SUM(D474,D491)</f>
        <v>89747</v>
      </c>
      <c r="E473" s="347">
        <f t="shared" si="121"/>
        <v>123900</v>
      </c>
      <c r="F473" s="347">
        <f t="shared" si="121"/>
        <v>148980</v>
      </c>
      <c r="G473" s="347">
        <f t="shared" si="121"/>
        <v>148980</v>
      </c>
      <c r="H473" s="347">
        <f t="shared" si="121"/>
        <v>148980</v>
      </c>
      <c r="I473" s="348">
        <f t="shared" si="121"/>
        <v>0</v>
      </c>
      <c r="J473" s="347"/>
      <c r="K473" s="347"/>
      <c r="L473" s="386"/>
      <c r="M473" s="386"/>
      <c r="N473" s="386"/>
      <c r="O473" s="386"/>
    </row>
    <row r="474" spans="1:15" s="349" customFormat="1" ht="15" hidden="1" x14ac:dyDescent="0.25">
      <c r="A474" s="344" t="s">
        <v>296</v>
      </c>
      <c r="B474" s="387" t="s">
        <v>297</v>
      </c>
      <c r="C474" s="346" t="s">
        <v>87</v>
      </c>
      <c r="D474" s="347">
        <f t="shared" ref="D474:I474" si="122">SUM(D475:D475)</f>
        <v>86848</v>
      </c>
      <c r="E474" s="347">
        <f t="shared" si="122"/>
        <v>118600</v>
      </c>
      <c r="F474" s="347">
        <f t="shared" si="122"/>
        <v>139380</v>
      </c>
      <c r="G474" s="347">
        <f t="shared" si="122"/>
        <v>139380</v>
      </c>
      <c r="H474" s="347">
        <f t="shared" si="122"/>
        <v>139380</v>
      </c>
      <c r="I474" s="348">
        <f t="shared" si="122"/>
        <v>0</v>
      </c>
      <c r="J474" s="347"/>
      <c r="K474" s="347"/>
      <c r="L474" s="386"/>
      <c r="M474" s="386"/>
      <c r="N474" s="386"/>
      <c r="O474" s="386"/>
    </row>
    <row r="475" spans="1:15" s="349" customFormat="1" ht="15" hidden="1" x14ac:dyDescent="0.25">
      <c r="A475" s="344"/>
      <c r="B475" s="388" t="s">
        <v>293</v>
      </c>
      <c r="C475" s="346" t="s">
        <v>298</v>
      </c>
      <c r="D475" s="347">
        <f t="shared" ref="D475:I475" si="123">SUM(D476,D477:D479)</f>
        <v>86848</v>
      </c>
      <c r="E475" s="347">
        <f t="shared" si="123"/>
        <v>118600</v>
      </c>
      <c r="F475" s="347">
        <f t="shared" si="123"/>
        <v>139380</v>
      </c>
      <c r="G475" s="347">
        <f t="shared" si="123"/>
        <v>139380</v>
      </c>
      <c r="H475" s="347">
        <f t="shared" si="123"/>
        <v>139380</v>
      </c>
      <c r="I475" s="348">
        <f t="shared" si="123"/>
        <v>0</v>
      </c>
      <c r="J475" s="347"/>
      <c r="K475" s="347"/>
    </row>
    <row r="476" spans="1:15" s="85" customFormat="1" hidden="1" x14ac:dyDescent="0.25">
      <c r="A476" s="102"/>
      <c r="B476" s="255" t="s">
        <v>299</v>
      </c>
      <c r="C476" s="98" t="s">
        <v>298</v>
      </c>
      <c r="D476" s="177">
        <v>45200</v>
      </c>
      <c r="E476" s="1010">
        <v>57500</v>
      </c>
      <c r="F476" s="177">
        <v>68700</v>
      </c>
      <c r="G476" s="177">
        <v>68700</v>
      </c>
      <c r="H476" s="177">
        <v>68700</v>
      </c>
      <c r="I476" s="178"/>
      <c r="J476" s="1010"/>
      <c r="K476" s="1010"/>
    </row>
    <row r="477" spans="1:15" s="85" customFormat="1" hidden="1" x14ac:dyDescent="0.25">
      <c r="A477" s="102"/>
      <c r="B477" s="240" t="s">
        <v>300</v>
      </c>
      <c r="C477" s="98" t="s">
        <v>298</v>
      </c>
      <c r="D477" s="177"/>
      <c r="E477" s="177">
        <v>1000</v>
      </c>
      <c r="F477" s="177"/>
      <c r="G477" s="177"/>
      <c r="H477" s="177"/>
      <c r="I477" s="178"/>
      <c r="J477" s="177"/>
      <c r="K477" s="177"/>
    </row>
    <row r="478" spans="1:15" s="85" customFormat="1" ht="15" hidden="1" x14ac:dyDescent="0.25">
      <c r="A478" s="102"/>
      <c r="B478" s="240" t="s">
        <v>301</v>
      </c>
      <c r="C478" s="98" t="s">
        <v>298</v>
      </c>
      <c r="D478" s="195">
        <v>84</v>
      </c>
      <c r="E478" s="195">
        <v>100</v>
      </c>
      <c r="F478" s="195">
        <v>100</v>
      </c>
      <c r="G478" s="195">
        <v>100</v>
      </c>
      <c r="H478" s="195">
        <v>100</v>
      </c>
      <c r="I478" s="196"/>
      <c r="J478" s="195"/>
      <c r="K478" s="195"/>
    </row>
    <row r="479" spans="1:15" s="349" customFormat="1" ht="30" hidden="1" x14ac:dyDescent="0.25">
      <c r="A479" s="344"/>
      <c r="B479" s="357" t="s">
        <v>302</v>
      </c>
      <c r="C479" s="346" t="s">
        <v>298</v>
      </c>
      <c r="D479" s="347">
        <f t="shared" ref="D479:I479" si="124">SUM(D480:D489)</f>
        <v>41564</v>
      </c>
      <c r="E479" s="192">
        <f t="shared" si="124"/>
        <v>60000</v>
      </c>
      <c r="F479" s="347">
        <f t="shared" si="124"/>
        <v>70580</v>
      </c>
      <c r="G479" s="347">
        <f t="shared" si="124"/>
        <v>70580</v>
      </c>
      <c r="H479" s="347">
        <f t="shared" si="124"/>
        <v>70580</v>
      </c>
      <c r="I479" s="348">
        <f t="shared" si="124"/>
        <v>0</v>
      </c>
      <c r="J479" s="192"/>
      <c r="K479" s="192"/>
      <c r="L479" s="386"/>
      <c r="M479" s="386"/>
      <c r="N479" s="386"/>
      <c r="O479" s="386"/>
    </row>
    <row r="480" spans="1:15" s="85" customFormat="1" ht="15" hidden="1" x14ac:dyDescent="0.25">
      <c r="A480" s="102"/>
      <c r="B480" s="200" t="s">
        <v>166</v>
      </c>
      <c r="C480" s="98"/>
      <c r="D480" s="104">
        <v>0</v>
      </c>
      <c r="E480" s="104">
        <v>0</v>
      </c>
      <c r="F480" s="104"/>
      <c r="G480" s="104"/>
      <c r="H480" s="104"/>
      <c r="I480" s="105"/>
      <c r="J480" s="104"/>
      <c r="K480" s="104"/>
    </row>
    <row r="481" spans="1:15" s="85" customFormat="1" ht="15" hidden="1" x14ac:dyDescent="0.25">
      <c r="A481" s="102"/>
      <c r="B481" s="200" t="s">
        <v>303</v>
      </c>
      <c r="C481" s="98"/>
      <c r="D481" s="104">
        <v>0</v>
      </c>
      <c r="E481" s="104">
        <v>0</v>
      </c>
      <c r="F481" s="104"/>
      <c r="G481" s="104"/>
      <c r="H481" s="104"/>
      <c r="I481" s="105"/>
      <c r="J481" s="104"/>
      <c r="K481" s="104"/>
    </row>
    <row r="482" spans="1:15" s="85" customFormat="1" hidden="1" x14ac:dyDescent="0.25">
      <c r="A482" s="102"/>
      <c r="B482" s="200" t="s">
        <v>304</v>
      </c>
      <c r="C482" s="98"/>
      <c r="D482" s="177">
        <v>0</v>
      </c>
      <c r="E482" s="177">
        <v>0</v>
      </c>
      <c r="F482" s="177"/>
      <c r="G482" s="177"/>
      <c r="H482" s="177"/>
      <c r="I482" s="178"/>
      <c r="J482" s="177"/>
      <c r="K482" s="177"/>
    </row>
    <row r="483" spans="1:15" s="85" customFormat="1" hidden="1" x14ac:dyDescent="0.25">
      <c r="A483" s="102"/>
      <c r="B483" s="200" t="s">
        <v>168</v>
      </c>
      <c r="C483" s="98"/>
      <c r="D483" s="177">
        <v>0</v>
      </c>
      <c r="E483" s="177">
        <v>0</v>
      </c>
      <c r="F483" s="177"/>
      <c r="G483" s="177"/>
      <c r="H483" s="177"/>
      <c r="I483" s="178"/>
      <c r="J483" s="177"/>
      <c r="K483" s="177"/>
      <c r="L483" s="252"/>
      <c r="M483" s="252"/>
      <c r="N483" s="252"/>
      <c r="O483" s="252"/>
    </row>
    <row r="484" spans="1:15" s="85" customFormat="1" hidden="1" x14ac:dyDescent="0.25">
      <c r="A484" s="102"/>
      <c r="B484" s="200" t="s">
        <v>169</v>
      </c>
      <c r="C484" s="98"/>
      <c r="D484" s="177">
        <v>0</v>
      </c>
      <c r="E484" s="177">
        <v>0</v>
      </c>
      <c r="F484" s="177"/>
      <c r="G484" s="177"/>
      <c r="H484" s="256"/>
      <c r="I484" s="178"/>
      <c r="J484" s="177"/>
      <c r="K484" s="177"/>
      <c r="L484" s="252"/>
      <c r="M484" s="252"/>
      <c r="N484" s="252"/>
      <c r="O484" s="252"/>
    </row>
    <row r="485" spans="1:15" s="85" customFormat="1" hidden="1" x14ac:dyDescent="0.25">
      <c r="A485" s="102"/>
      <c r="B485" s="200" t="s">
        <v>174</v>
      </c>
      <c r="C485" s="98"/>
      <c r="D485" s="177">
        <v>0</v>
      </c>
      <c r="E485" s="177">
        <v>0</v>
      </c>
      <c r="F485" s="177"/>
      <c r="G485" s="177"/>
      <c r="H485" s="177"/>
      <c r="I485" s="178"/>
      <c r="J485" s="177"/>
      <c r="K485" s="177"/>
    </row>
    <row r="486" spans="1:15" s="85" customFormat="1" ht="15" hidden="1" x14ac:dyDescent="0.25">
      <c r="A486" s="102"/>
      <c r="B486" s="200" t="s">
        <v>175</v>
      </c>
      <c r="C486" s="98"/>
      <c r="D486" s="195">
        <v>0</v>
      </c>
      <c r="E486" s="195">
        <v>0</v>
      </c>
      <c r="F486" s="195"/>
      <c r="G486" s="195"/>
      <c r="H486" s="195"/>
      <c r="I486" s="196"/>
      <c r="J486" s="195"/>
      <c r="K486" s="195"/>
    </row>
    <row r="487" spans="1:15" s="85" customFormat="1" ht="15" hidden="1" x14ac:dyDescent="0.25">
      <c r="A487" s="102"/>
      <c r="B487" s="200" t="s">
        <v>178</v>
      </c>
      <c r="C487" s="98"/>
      <c r="D487" s="195">
        <v>0</v>
      </c>
      <c r="E487" s="195">
        <v>0</v>
      </c>
      <c r="F487" s="195"/>
      <c r="G487" s="195"/>
      <c r="H487" s="195"/>
      <c r="I487" s="196"/>
      <c r="J487" s="195"/>
      <c r="K487" s="195"/>
    </row>
    <row r="488" spans="1:15" s="85" customFormat="1" ht="15" hidden="1" x14ac:dyDescent="0.25">
      <c r="A488" s="102"/>
      <c r="B488" s="200" t="s">
        <v>177</v>
      </c>
      <c r="C488" s="98"/>
      <c r="D488" s="195">
        <v>41564</v>
      </c>
      <c r="E488" s="195">
        <v>60000</v>
      </c>
      <c r="F488" s="195">
        <v>60000</v>
      </c>
      <c r="G488" s="195">
        <v>60000</v>
      </c>
      <c r="H488" s="195">
        <v>60000</v>
      </c>
      <c r="I488" s="196"/>
      <c r="J488" s="195"/>
      <c r="K488" s="195"/>
    </row>
    <row r="489" spans="1:15" s="85" customFormat="1" ht="15" hidden="1" x14ac:dyDescent="0.25">
      <c r="A489" s="102"/>
      <c r="B489" s="200" t="s">
        <v>198</v>
      </c>
      <c r="C489" s="98"/>
      <c r="D489" s="195"/>
      <c r="E489" s="206">
        <v>0</v>
      </c>
      <c r="F489" s="195">
        <v>10580</v>
      </c>
      <c r="G489" s="195">
        <v>10580</v>
      </c>
      <c r="H489" s="195">
        <v>10580</v>
      </c>
      <c r="I489" s="196"/>
      <c r="J489" s="206"/>
      <c r="K489" s="206"/>
    </row>
    <row r="490" spans="1:15" s="85" customFormat="1" ht="15" hidden="1" x14ac:dyDescent="0.25">
      <c r="A490" s="102"/>
      <c r="B490" s="257"/>
      <c r="C490" s="98"/>
      <c r="D490" s="195"/>
      <c r="E490" s="195"/>
      <c r="F490" s="195"/>
      <c r="G490" s="195"/>
      <c r="H490" s="195"/>
      <c r="I490" s="196"/>
      <c r="J490" s="195"/>
      <c r="K490" s="195"/>
    </row>
    <row r="491" spans="1:15" s="349" customFormat="1" ht="15" hidden="1" x14ac:dyDescent="0.25">
      <c r="A491" s="344" t="s">
        <v>305</v>
      </c>
      <c r="B491" s="387" t="s">
        <v>306</v>
      </c>
      <c r="C491" s="346"/>
      <c r="D491" s="347">
        <f t="shared" ref="D491:I491" si="125">SUM(D492:D492)</f>
        <v>2899</v>
      </c>
      <c r="E491" s="192">
        <f t="shared" si="125"/>
        <v>5300</v>
      </c>
      <c r="F491" s="347">
        <f t="shared" si="125"/>
        <v>9600</v>
      </c>
      <c r="G491" s="347">
        <f t="shared" si="125"/>
        <v>9600</v>
      </c>
      <c r="H491" s="347">
        <f t="shared" si="125"/>
        <v>9600</v>
      </c>
      <c r="I491" s="348">
        <f t="shared" si="125"/>
        <v>0</v>
      </c>
      <c r="J491" s="192"/>
      <c r="K491" s="192"/>
      <c r="L491" s="386"/>
      <c r="M491" s="386"/>
      <c r="N491" s="386"/>
      <c r="O491" s="386"/>
    </row>
    <row r="492" spans="1:15" s="349" customFormat="1" ht="15" hidden="1" x14ac:dyDescent="0.25">
      <c r="A492" s="344"/>
      <c r="B492" s="388" t="s">
        <v>293</v>
      </c>
      <c r="C492" s="346" t="s">
        <v>307</v>
      </c>
      <c r="D492" s="347">
        <f>SUM(D493:D497)</f>
        <v>2899</v>
      </c>
      <c r="E492" s="192">
        <f>SUM(E493:E497)</f>
        <v>5300</v>
      </c>
      <c r="F492" s="347">
        <f>SUM(F493:F497)</f>
        <v>9600</v>
      </c>
      <c r="G492" s="347">
        <f>SUM(G493:G497)</f>
        <v>9600</v>
      </c>
      <c r="H492" s="347">
        <f>SUM(H493:H497)</f>
        <v>9600</v>
      </c>
      <c r="I492" s="348">
        <f>SUM(I494:I497)</f>
        <v>0</v>
      </c>
      <c r="J492" s="192"/>
      <c r="K492" s="192"/>
      <c r="L492" s="386"/>
      <c r="M492" s="386"/>
      <c r="N492" s="386"/>
      <c r="O492" s="386"/>
    </row>
    <row r="493" spans="1:15" s="85" customFormat="1" hidden="1" x14ac:dyDescent="0.25">
      <c r="A493" s="102"/>
      <c r="B493" s="255" t="s">
        <v>299</v>
      </c>
      <c r="C493" s="98" t="s">
        <v>307</v>
      </c>
      <c r="D493" s="177">
        <v>133</v>
      </c>
      <c r="E493" s="177">
        <v>1000</v>
      </c>
      <c r="F493" s="177">
        <v>2400</v>
      </c>
      <c r="G493" s="177">
        <v>2400</v>
      </c>
      <c r="H493" s="177">
        <v>2400</v>
      </c>
      <c r="I493" s="178"/>
      <c r="J493" s="177"/>
      <c r="K493" s="177"/>
    </row>
    <row r="494" spans="1:15" s="85" customFormat="1" ht="15" hidden="1" x14ac:dyDescent="0.25">
      <c r="A494" s="102"/>
      <c r="B494" s="240" t="s">
        <v>301</v>
      </c>
      <c r="C494" s="98" t="s">
        <v>307</v>
      </c>
      <c r="D494" s="195">
        <v>0</v>
      </c>
      <c r="E494" s="195">
        <v>100</v>
      </c>
      <c r="F494" s="195"/>
      <c r="G494" s="195"/>
      <c r="H494" s="201"/>
      <c r="I494" s="196"/>
      <c r="J494" s="195"/>
      <c r="K494" s="195"/>
    </row>
    <row r="495" spans="1:15" s="85" customFormat="1" ht="34.5" hidden="1" customHeight="1" x14ac:dyDescent="0.25">
      <c r="A495" s="102"/>
      <c r="B495" s="205" t="s">
        <v>308</v>
      </c>
      <c r="C495" s="98" t="s">
        <v>307</v>
      </c>
      <c r="D495" s="195">
        <v>1866</v>
      </c>
      <c r="E495" s="1011">
        <v>2500</v>
      </c>
      <c r="F495" s="195">
        <v>5500</v>
      </c>
      <c r="G495" s="195">
        <v>5500</v>
      </c>
      <c r="H495" s="195">
        <v>5500</v>
      </c>
      <c r="I495" s="196"/>
      <c r="J495" s="1011"/>
      <c r="K495" s="1011"/>
    </row>
    <row r="496" spans="1:15" s="85" customFormat="1" ht="15" hidden="1" x14ac:dyDescent="0.25">
      <c r="A496" s="102"/>
      <c r="B496" s="240" t="s">
        <v>300</v>
      </c>
      <c r="C496" s="98" t="s">
        <v>307</v>
      </c>
      <c r="D496" s="195">
        <v>900</v>
      </c>
      <c r="E496" s="195">
        <v>1700</v>
      </c>
      <c r="F496" s="195">
        <v>1700</v>
      </c>
      <c r="G496" s="195">
        <v>1700</v>
      </c>
      <c r="H496" s="195">
        <v>1700</v>
      </c>
      <c r="I496" s="196"/>
      <c r="J496" s="195"/>
      <c r="K496" s="195"/>
    </row>
    <row r="497" spans="1:23" s="349" customFormat="1" ht="30" hidden="1" x14ac:dyDescent="0.25">
      <c r="A497" s="389"/>
      <c r="B497" s="357" t="s">
        <v>302</v>
      </c>
      <c r="C497" s="346" t="s">
        <v>307</v>
      </c>
      <c r="D497" s="347">
        <f t="shared" ref="D497:I497" si="126">SUM(D498:D507)</f>
        <v>0</v>
      </c>
      <c r="E497" s="347">
        <f t="shared" si="126"/>
        <v>0</v>
      </c>
      <c r="F497" s="347">
        <f t="shared" si="126"/>
        <v>0</v>
      </c>
      <c r="G497" s="347">
        <f t="shared" si="126"/>
        <v>0</v>
      </c>
      <c r="H497" s="347">
        <f t="shared" si="126"/>
        <v>0</v>
      </c>
      <c r="I497" s="348">
        <f t="shared" si="126"/>
        <v>0</v>
      </c>
      <c r="J497" s="347"/>
      <c r="K497" s="347"/>
      <c r="L497" s="386"/>
      <c r="M497" s="386"/>
      <c r="N497" s="386"/>
      <c r="O497" s="386"/>
    </row>
    <row r="498" spans="1:23" s="85" customFormat="1" ht="15" hidden="1" x14ac:dyDescent="0.25">
      <c r="A498" s="259"/>
      <c r="B498" s="200" t="s">
        <v>166</v>
      </c>
      <c r="C498" s="98"/>
      <c r="D498" s="360"/>
      <c r="E498" s="360"/>
      <c r="F498" s="360"/>
      <c r="G498" s="360"/>
      <c r="H498" s="360"/>
      <c r="I498" s="196"/>
      <c r="J498" s="360"/>
      <c r="K498" s="360"/>
    </row>
    <row r="499" spans="1:23" s="85" customFormat="1" ht="15" hidden="1" x14ac:dyDescent="0.25">
      <c r="A499" s="259"/>
      <c r="B499" s="200" t="s">
        <v>303</v>
      </c>
      <c r="C499" s="98"/>
      <c r="D499" s="360"/>
      <c r="E499" s="360"/>
      <c r="F499" s="360"/>
      <c r="G499" s="360"/>
      <c r="H499" s="390"/>
      <c r="I499" s="196"/>
      <c r="J499" s="360"/>
      <c r="K499" s="360"/>
      <c r="N499" s="106"/>
    </row>
    <row r="500" spans="1:23" s="85" customFormat="1" ht="15" hidden="1" x14ac:dyDescent="0.25">
      <c r="A500" s="259"/>
      <c r="B500" s="200" t="s">
        <v>168</v>
      </c>
      <c r="C500" s="98"/>
      <c r="D500" s="360"/>
      <c r="E500" s="360"/>
      <c r="F500" s="360"/>
      <c r="G500" s="360"/>
      <c r="H500" s="360"/>
      <c r="I500" s="196"/>
      <c r="J500" s="360"/>
      <c r="K500" s="360"/>
    </row>
    <row r="501" spans="1:23" s="85" customFormat="1" ht="15" hidden="1" x14ac:dyDescent="0.25">
      <c r="A501" s="259"/>
      <c r="B501" s="200" t="s">
        <v>170</v>
      </c>
      <c r="C501" s="98"/>
      <c r="D501" s="360"/>
      <c r="E501" s="360"/>
      <c r="F501" s="360"/>
      <c r="G501" s="360"/>
      <c r="H501" s="360"/>
      <c r="I501" s="196"/>
      <c r="J501" s="360"/>
      <c r="K501" s="360"/>
    </row>
    <row r="502" spans="1:23" s="85" customFormat="1" hidden="1" x14ac:dyDescent="0.25">
      <c r="A502" s="259"/>
      <c r="B502" s="200" t="s">
        <v>169</v>
      </c>
      <c r="C502" s="98"/>
      <c r="D502" s="333"/>
      <c r="E502" s="333"/>
      <c r="F502" s="333"/>
      <c r="G502" s="333"/>
      <c r="H502" s="391"/>
      <c r="I502" s="178"/>
      <c r="J502" s="333"/>
      <c r="K502" s="333"/>
      <c r="L502" s="212"/>
      <c r="M502" s="212"/>
      <c r="N502" s="212"/>
      <c r="O502" s="212"/>
    </row>
    <row r="503" spans="1:23" s="85" customFormat="1" hidden="1" x14ac:dyDescent="0.25">
      <c r="A503" s="259"/>
      <c r="B503" s="200" t="s">
        <v>195</v>
      </c>
      <c r="C503" s="98"/>
      <c r="D503" s="333"/>
      <c r="E503" s="333"/>
      <c r="F503" s="333"/>
      <c r="G503" s="333"/>
      <c r="H503" s="333"/>
      <c r="I503" s="178"/>
      <c r="J503" s="333"/>
      <c r="K503" s="333"/>
      <c r="L503" s="144"/>
      <c r="M503" s="144"/>
      <c r="N503" s="144"/>
      <c r="O503" s="144"/>
    </row>
    <row r="504" spans="1:23" s="85" customFormat="1" hidden="1" x14ac:dyDescent="0.25">
      <c r="A504" s="259"/>
      <c r="B504" s="200" t="s">
        <v>174</v>
      </c>
      <c r="C504" s="98"/>
      <c r="D504" s="333"/>
      <c r="E504" s="333"/>
      <c r="F504" s="333"/>
      <c r="G504" s="333"/>
      <c r="H504" s="333"/>
      <c r="I504" s="178"/>
      <c r="J504" s="333"/>
      <c r="K504" s="333"/>
      <c r="L504" s="44"/>
      <c r="M504" s="44"/>
      <c r="N504" s="44"/>
      <c r="O504" s="44"/>
    </row>
    <row r="505" spans="1:23" s="85" customFormat="1" hidden="1" x14ac:dyDescent="0.25">
      <c r="A505" s="259"/>
      <c r="B505" s="200" t="s">
        <v>310</v>
      </c>
      <c r="C505" s="98"/>
      <c r="D505" s="333"/>
      <c r="E505" s="333"/>
      <c r="F505" s="333"/>
      <c r="G505" s="333"/>
      <c r="H505" s="333"/>
      <c r="I505" s="178"/>
      <c r="J505" s="333"/>
      <c r="K505" s="333"/>
      <c r="L505" s="44"/>
      <c r="M505" s="44"/>
      <c r="N505" s="44"/>
      <c r="O505" s="44"/>
    </row>
    <row r="506" spans="1:23" s="85" customFormat="1" hidden="1" x14ac:dyDescent="0.25">
      <c r="A506" s="259"/>
      <c r="B506" s="200" t="s">
        <v>178</v>
      </c>
      <c r="C506" s="98"/>
      <c r="D506" s="333"/>
      <c r="E506" s="333"/>
      <c r="F506" s="333"/>
      <c r="G506" s="333"/>
      <c r="H506" s="333"/>
      <c r="I506" s="178"/>
      <c r="J506" s="333"/>
      <c r="K506" s="333"/>
      <c r="L506" s="262"/>
      <c r="M506" s="44"/>
      <c r="N506" s="44"/>
      <c r="O506" s="44"/>
    </row>
    <row r="507" spans="1:23" s="85" customFormat="1" ht="15" hidden="1" x14ac:dyDescent="0.25">
      <c r="A507" s="259"/>
      <c r="B507" s="200" t="s">
        <v>198</v>
      </c>
      <c r="C507" s="98"/>
      <c r="D507" s="360"/>
      <c r="E507" s="360"/>
      <c r="F507" s="360"/>
      <c r="G507" s="360"/>
      <c r="H507" s="360"/>
      <c r="I507" s="196"/>
      <c r="J507" s="360"/>
      <c r="K507" s="360"/>
      <c r="L507" s="262"/>
      <c r="M507" s="44"/>
      <c r="N507" s="44"/>
      <c r="O507" s="44"/>
    </row>
    <row r="508" spans="1:23" s="85" customFormat="1" hidden="1" x14ac:dyDescent="0.25">
      <c r="A508" s="259"/>
      <c r="B508" s="200"/>
      <c r="C508" s="98"/>
      <c r="D508" s="392"/>
      <c r="E508" s="392"/>
      <c r="F508" s="392"/>
      <c r="G508" s="392"/>
      <c r="H508" s="392"/>
      <c r="I508" s="155"/>
      <c r="J508" s="392"/>
      <c r="K508" s="392"/>
      <c r="L508" s="262"/>
      <c r="M508" s="263"/>
      <c r="N508" s="44"/>
      <c r="O508" s="44"/>
    </row>
    <row r="509" spans="1:23" s="343" customFormat="1" hidden="1" x14ac:dyDescent="0.25">
      <c r="A509" s="322" t="s">
        <v>35</v>
      </c>
      <c r="B509" s="378" t="s">
        <v>311</v>
      </c>
      <c r="C509" s="324" t="s">
        <v>121</v>
      </c>
      <c r="D509" s="325">
        <f t="shared" ref="D509:I509" si="127">SUM(D511,D513,D515,D517)</f>
        <v>787474</v>
      </c>
      <c r="E509" s="325">
        <f t="shared" si="127"/>
        <v>880400</v>
      </c>
      <c r="F509" s="325">
        <f t="shared" si="127"/>
        <v>1020400</v>
      </c>
      <c r="G509" s="325">
        <f t="shared" si="127"/>
        <v>1100400</v>
      </c>
      <c r="H509" s="325">
        <f t="shared" si="127"/>
        <v>1200400</v>
      </c>
      <c r="I509" s="356">
        <f t="shared" si="127"/>
        <v>0</v>
      </c>
      <c r="J509" s="325"/>
      <c r="K509" s="325"/>
      <c r="L509" s="393"/>
      <c r="M509" s="394"/>
      <c r="N509" s="394"/>
      <c r="O509" s="394"/>
      <c r="U509" s="343">
        <f>H515*0.025</f>
        <v>25619.5</v>
      </c>
      <c r="V509" s="343">
        <f>J515*0.025</f>
        <v>0</v>
      </c>
      <c r="W509" s="343">
        <f>K515*0.025</f>
        <v>0</v>
      </c>
    </row>
    <row r="510" spans="1:23" s="144" customFormat="1" hidden="1" x14ac:dyDescent="0.25">
      <c r="A510" s="137"/>
      <c r="B510" s="138" t="s">
        <v>312</v>
      </c>
      <c r="C510" s="162"/>
      <c r="D510" s="331"/>
      <c r="E510" s="331"/>
      <c r="F510" s="331"/>
      <c r="G510" s="331"/>
      <c r="H510" s="331"/>
      <c r="I510" s="164"/>
      <c r="J510" s="331"/>
      <c r="K510" s="331"/>
      <c r="L510" s="262"/>
      <c r="M510" s="44"/>
      <c r="N510" s="81"/>
      <c r="O510" s="44"/>
    </row>
    <row r="511" spans="1:23" s="44" customFormat="1" ht="15" hidden="1" customHeight="1" x14ac:dyDescent="0.25">
      <c r="A511" s="259"/>
      <c r="B511" s="97" t="s">
        <v>313</v>
      </c>
      <c r="C511" s="266"/>
      <c r="D511" s="267">
        <v>119600</v>
      </c>
      <c r="E511" s="267">
        <v>146341</v>
      </c>
      <c r="F511" s="267">
        <v>146341</v>
      </c>
      <c r="G511" s="267">
        <v>146341</v>
      </c>
      <c r="H511" s="267">
        <v>146341</v>
      </c>
      <c r="I511" s="268"/>
      <c r="J511" s="267"/>
      <c r="K511" s="267"/>
      <c r="L511" s="262"/>
      <c r="N511" s="81"/>
    </row>
    <row r="512" spans="1:23" s="44" customFormat="1" ht="15.75" hidden="1" customHeight="1" x14ac:dyDescent="0.25">
      <c r="A512" s="259"/>
      <c r="B512" s="97"/>
      <c r="C512" s="266"/>
      <c r="D512" s="267"/>
      <c r="E512" s="267"/>
      <c r="F512" s="267"/>
      <c r="G512" s="267"/>
      <c r="H512" s="267"/>
      <c r="I512" s="268"/>
      <c r="J512" s="267"/>
      <c r="K512" s="267"/>
      <c r="L512" s="262"/>
      <c r="N512" s="81"/>
    </row>
    <row r="513" spans="1:21" s="44" customFormat="1" ht="15" hidden="1" x14ac:dyDescent="0.25">
      <c r="A513" s="259"/>
      <c r="B513" s="97" t="s">
        <v>314</v>
      </c>
      <c r="C513" s="266"/>
      <c r="D513" s="267">
        <v>2990</v>
      </c>
      <c r="E513" s="267">
        <v>3659</v>
      </c>
      <c r="F513" s="267">
        <v>3659</v>
      </c>
      <c r="G513" s="267">
        <v>3659</v>
      </c>
      <c r="H513" s="267">
        <v>3659</v>
      </c>
      <c r="I513" s="268">
        <f>I511*0.025</f>
        <v>0</v>
      </c>
      <c r="J513" s="267"/>
      <c r="K513" s="267"/>
      <c r="M513" s="263"/>
      <c r="N513" s="81"/>
    </row>
    <row r="514" spans="1:21" s="44" customFormat="1" ht="15" hidden="1" x14ac:dyDescent="0.25">
      <c r="A514" s="259"/>
      <c r="B514" s="97"/>
      <c r="C514" s="266"/>
      <c r="D514" s="267"/>
      <c r="E514" s="269"/>
      <c r="F514" s="267"/>
      <c r="G514" s="267"/>
      <c r="H514" s="267"/>
      <c r="I514" s="268"/>
      <c r="J514" s="269"/>
      <c r="K514" s="269"/>
    </row>
    <row r="515" spans="1:21" s="44" customFormat="1" ht="15" hidden="1" x14ac:dyDescent="0.25">
      <c r="A515" s="259"/>
      <c r="B515" s="97" t="s">
        <v>315</v>
      </c>
      <c r="C515" s="266"/>
      <c r="D515" s="267">
        <v>648667</v>
      </c>
      <c r="E515" s="269">
        <v>712586</v>
      </c>
      <c r="F515" s="267">
        <v>849170</v>
      </c>
      <c r="G515" s="267">
        <v>927220</v>
      </c>
      <c r="H515" s="267">
        <v>1024780</v>
      </c>
      <c r="I515" s="268"/>
      <c r="J515" s="269"/>
      <c r="K515" s="269"/>
      <c r="L515" s="270" t="s">
        <v>316</v>
      </c>
      <c r="M515" s="271" t="e">
        <f>"$#ODWOŁANIE$#ODWOŁANIE"*0.025</f>
        <v>#VALUE!</v>
      </c>
      <c r="N515" s="271"/>
      <c r="O515" s="271">
        <f>F511*0.025</f>
        <v>3658.5250000000001</v>
      </c>
      <c r="P515" s="271">
        <f>G511*0.025</f>
        <v>3658.5250000000001</v>
      </c>
      <c r="Q515" s="272">
        <f>H511*0.025</f>
        <v>3658.5250000000001</v>
      </c>
    </row>
    <row r="516" spans="1:21" s="144" customFormat="1" hidden="1" x14ac:dyDescent="0.25">
      <c r="A516" s="137"/>
      <c r="B516" s="257"/>
      <c r="C516" s="98"/>
      <c r="D516" s="273"/>
      <c r="E516" s="274"/>
      <c r="F516" s="273"/>
      <c r="G516" s="273"/>
      <c r="H516" s="273"/>
      <c r="I516" s="275"/>
      <c r="J516" s="274"/>
      <c r="K516" s="274"/>
      <c r="L516" s="276"/>
      <c r="M516" s="277" t="e">
        <f>"$#ODWOŁANIE$#ODWOŁANIE"*0.025</f>
        <v>#VALUE!</v>
      </c>
      <c r="N516" s="277"/>
      <c r="O516" s="277">
        <f>F515*0.025</f>
        <v>21229.25</v>
      </c>
      <c r="P516" s="277">
        <f>G515*0.025</f>
        <v>23180.5</v>
      </c>
      <c r="Q516" s="278">
        <f>H515*0.025</f>
        <v>25619.5</v>
      </c>
      <c r="U516" s="144">
        <f>H515*0.025</f>
        <v>25619.5</v>
      </c>
    </row>
    <row r="517" spans="1:21" s="44" customFormat="1" hidden="1" x14ac:dyDescent="0.25">
      <c r="A517" s="259"/>
      <c r="B517" s="97" t="s">
        <v>317</v>
      </c>
      <c r="C517" s="266"/>
      <c r="D517" s="267">
        <v>16217</v>
      </c>
      <c r="E517" s="269">
        <v>17814</v>
      </c>
      <c r="F517" s="267">
        <v>21230</v>
      </c>
      <c r="G517" s="267">
        <v>23180</v>
      </c>
      <c r="H517" s="267">
        <v>25620</v>
      </c>
      <c r="I517" s="268">
        <f>I515*0.025</f>
        <v>0</v>
      </c>
      <c r="J517" s="269"/>
      <c r="K517" s="269"/>
      <c r="L517" s="74"/>
      <c r="M517" s="74"/>
      <c r="N517" s="74"/>
      <c r="O517" s="279"/>
    </row>
    <row r="518" spans="1:21" s="44" customFormat="1" ht="15" hidden="1" x14ac:dyDescent="0.25">
      <c r="A518" s="259"/>
      <c r="B518" s="97"/>
      <c r="C518" s="266"/>
      <c r="D518" s="395"/>
      <c r="E518" s="395"/>
      <c r="F518" s="395"/>
      <c r="G518" s="395"/>
      <c r="H518" s="395"/>
      <c r="I518" s="268"/>
      <c r="J518" s="395"/>
      <c r="K518" s="395"/>
      <c r="L518" s="280"/>
      <c r="M518" s="280"/>
      <c r="N518" s="280"/>
      <c r="O518" s="280"/>
    </row>
    <row r="519" spans="1:21" s="401" customFormat="1" hidden="1" x14ac:dyDescent="0.25">
      <c r="A519" s="396" t="s">
        <v>37</v>
      </c>
      <c r="B519" s="397" t="s">
        <v>79</v>
      </c>
      <c r="C519" s="398" t="s">
        <v>87</v>
      </c>
      <c r="D519" s="399">
        <f t="shared" ref="D519:I519" si="128">SUM(D521:D522)</f>
        <v>1964</v>
      </c>
      <c r="E519" s="399">
        <f t="shared" si="128"/>
        <v>3283</v>
      </c>
      <c r="F519" s="399">
        <f t="shared" si="128"/>
        <v>1869</v>
      </c>
      <c r="G519" s="399">
        <f t="shared" si="128"/>
        <v>350</v>
      </c>
      <c r="H519" s="399">
        <f t="shared" si="128"/>
        <v>350</v>
      </c>
      <c r="I519" s="400">
        <f t="shared" si="128"/>
        <v>0</v>
      </c>
      <c r="J519" s="399"/>
      <c r="K519" s="399"/>
      <c r="L519" s="402"/>
      <c r="M519" s="386"/>
      <c r="N519" s="386"/>
      <c r="O519" s="402"/>
    </row>
    <row r="520" spans="1:21" s="44" customFormat="1" hidden="1" x14ac:dyDescent="0.25">
      <c r="A520" s="137"/>
      <c r="B520" s="138" t="s">
        <v>318</v>
      </c>
      <c r="C520" s="162"/>
      <c r="D520" s="333"/>
      <c r="E520" s="333"/>
      <c r="F520" s="333"/>
      <c r="G520" s="333"/>
      <c r="H520" s="333"/>
      <c r="I520" s="178"/>
      <c r="J520" s="333"/>
      <c r="K520" s="333"/>
      <c r="L520" s="85"/>
      <c r="M520" s="85"/>
      <c r="N520" s="85"/>
      <c r="O520" s="85"/>
    </row>
    <row r="521" spans="1:21" s="44" customFormat="1" hidden="1" x14ac:dyDescent="0.25">
      <c r="A521" s="137"/>
      <c r="B521" s="138" t="s">
        <v>319</v>
      </c>
      <c r="C521" s="98" t="s">
        <v>141</v>
      </c>
      <c r="D521" s="177">
        <v>534</v>
      </c>
      <c r="E521" s="177">
        <v>350</v>
      </c>
      <c r="F521" s="177">
        <v>350</v>
      </c>
      <c r="G521" s="177">
        <v>350</v>
      </c>
      <c r="H521" s="177">
        <v>350</v>
      </c>
      <c r="I521" s="178"/>
      <c r="J521" s="177"/>
      <c r="K521" s="177"/>
      <c r="L521" s="85"/>
      <c r="M521" s="85"/>
      <c r="N521" s="85"/>
      <c r="O521" s="81" t="s">
        <v>320</v>
      </c>
    </row>
    <row r="522" spans="1:21" s="44" customFormat="1" ht="16.5" hidden="1" thickBot="1" x14ac:dyDescent="0.3">
      <c r="A522" s="403"/>
      <c r="B522" s="404" t="s">
        <v>321</v>
      </c>
      <c r="C522" s="405" t="s">
        <v>322</v>
      </c>
      <c r="D522" s="177">
        <v>1430</v>
      </c>
      <c r="E522" s="177">
        <v>2933</v>
      </c>
      <c r="F522" s="177">
        <v>1519</v>
      </c>
      <c r="G522" s="177">
        <v>0</v>
      </c>
      <c r="H522" s="177">
        <v>0</v>
      </c>
      <c r="I522" s="178"/>
      <c r="J522" s="177"/>
      <c r="K522" s="177"/>
      <c r="L522" s="85"/>
      <c r="M522" s="81"/>
      <c r="N522" s="85"/>
      <c r="O522" s="85"/>
    </row>
    <row r="523" spans="1:21" hidden="1" x14ac:dyDescent="0.25">
      <c r="A523" s="406"/>
      <c r="B523" s="312"/>
      <c r="C523" s="313"/>
    </row>
    <row r="524" spans="1:21" ht="19.5" hidden="1" thickBot="1" x14ac:dyDescent="0.35">
      <c r="A524" s="407" t="s">
        <v>336</v>
      </c>
      <c r="B524" s="407"/>
      <c r="C524" s="407"/>
      <c r="D524" s="408"/>
      <c r="E524" s="408"/>
      <c r="F524" s="408"/>
      <c r="G524" s="408"/>
      <c r="H524" s="408"/>
      <c r="I524" s="407"/>
      <c r="J524" s="408"/>
      <c r="K524" s="408"/>
      <c r="L524" s="173"/>
      <c r="M524" s="173"/>
      <c r="N524" s="173"/>
      <c r="O524" s="173"/>
    </row>
    <row r="525" spans="1:21" s="410" customFormat="1" ht="12.75" hidden="1" customHeight="1" thickBot="1" x14ac:dyDescent="0.3">
      <c r="A525" s="1082" t="s">
        <v>7</v>
      </c>
      <c r="B525" s="1083" t="s">
        <v>8</v>
      </c>
      <c r="C525" s="1083"/>
      <c r="D525" s="409" t="str">
        <f>D64</f>
        <v>Przewidywane 
wykonanie 
w 2013 r.</v>
      </c>
      <c r="E525" s="409" t="str">
        <f>E64</f>
        <v xml:space="preserve">Plan 
na 2014 r. 
</v>
      </c>
      <c r="F525" s="409" t="str">
        <f>F64</f>
        <v>Projekt planu 
na 2015 r.</v>
      </c>
      <c r="G525" s="409" t="str">
        <f>G64</f>
        <v>Projekt planu 
na 2016 r.</v>
      </c>
      <c r="H525" s="409" t="str">
        <f>H64</f>
        <v>Projekt planu 
na 2017 r.</v>
      </c>
      <c r="I525" s="20" t="str">
        <f>I14</f>
        <v>Projekt
planu KASOWO
na 2012 rok</v>
      </c>
      <c r="J525" s="409"/>
      <c r="K525" s="409"/>
    </row>
    <row r="526" spans="1:21" s="410" customFormat="1" ht="16.5" hidden="1" customHeight="1" thickBot="1" x14ac:dyDescent="0.3">
      <c r="A526" s="1082"/>
      <c r="B526" s="1083"/>
      <c r="C526" s="1083"/>
      <c r="D526" s="1102" t="str">
        <f>D65</f>
        <v>w tysiącach złotych</v>
      </c>
      <c r="E526" s="1102"/>
      <c r="F526" s="1102"/>
      <c r="G526" s="1102"/>
      <c r="H526" s="1102"/>
      <c r="I526" s="22"/>
      <c r="J526" s="94"/>
    </row>
    <row r="527" spans="1:21" ht="12.75" hidden="1" customHeight="1" thickBot="1" x14ac:dyDescent="0.3">
      <c r="A527" s="24">
        <v>1</v>
      </c>
      <c r="B527" s="1099">
        <v>2</v>
      </c>
      <c r="C527" s="1099"/>
      <c r="D527" s="27">
        <v>3</v>
      </c>
      <c r="E527" s="27">
        <v>4</v>
      </c>
      <c r="F527" s="27">
        <v>5</v>
      </c>
      <c r="G527" s="27">
        <v>6</v>
      </c>
      <c r="H527" s="27">
        <v>7</v>
      </c>
      <c r="I527" s="28">
        <v>4</v>
      </c>
      <c r="J527" s="27"/>
      <c r="K527" s="27"/>
    </row>
    <row r="528" spans="1:21" ht="12.75" hidden="1" customHeight="1" x14ac:dyDescent="0.25">
      <c r="A528" s="30"/>
      <c r="B528" s="31"/>
      <c r="C528" s="32"/>
      <c r="D528" s="411"/>
      <c r="E528" s="411"/>
      <c r="F528" s="411"/>
      <c r="G528" s="411"/>
      <c r="H528" s="411"/>
      <c r="I528" s="412"/>
      <c r="J528" s="411"/>
      <c r="K528" s="411"/>
    </row>
    <row r="529" spans="1:11" ht="15.75" hidden="1" customHeight="1" x14ac:dyDescent="0.25">
      <c r="A529" s="150"/>
      <c r="B529" s="1103"/>
      <c r="C529" s="1103"/>
      <c r="D529" s="413"/>
      <c r="E529" s="413"/>
      <c r="F529" s="413"/>
      <c r="G529" s="413"/>
      <c r="H529" s="413"/>
      <c r="I529" s="414"/>
      <c r="J529" s="413"/>
      <c r="K529" s="413"/>
    </row>
    <row r="530" spans="1:11" ht="30" hidden="1" x14ac:dyDescent="0.25">
      <c r="A530" s="298" t="s">
        <v>19</v>
      </c>
      <c r="B530" s="415" t="s">
        <v>337</v>
      </c>
      <c r="C530" s="416"/>
      <c r="D530" s="417">
        <f t="shared" ref="D530:I530" si="129">SUM(D531:D536)</f>
        <v>0</v>
      </c>
      <c r="E530" s="417">
        <f t="shared" si="129"/>
        <v>0</v>
      </c>
      <c r="F530" s="417">
        <f t="shared" si="129"/>
        <v>0</v>
      </c>
      <c r="G530" s="417">
        <f t="shared" si="129"/>
        <v>0</v>
      </c>
      <c r="H530" s="417">
        <f t="shared" si="129"/>
        <v>0</v>
      </c>
      <c r="I530" s="418">
        <f t="shared" si="129"/>
        <v>67684</v>
      </c>
      <c r="J530" s="417"/>
      <c r="K530" s="417"/>
    </row>
    <row r="531" spans="1:11" s="173" customFormat="1" hidden="1" x14ac:dyDescent="0.25">
      <c r="A531" s="102" t="s">
        <v>21</v>
      </c>
      <c r="B531" s="1100" t="s">
        <v>338</v>
      </c>
      <c r="C531" s="1100"/>
      <c r="D531" s="171">
        <v>0</v>
      </c>
      <c r="E531" s="171">
        <v>0</v>
      </c>
      <c r="F531" s="171">
        <v>0</v>
      </c>
      <c r="G531" s="171">
        <v>0</v>
      </c>
      <c r="H531" s="171">
        <v>0</v>
      </c>
      <c r="I531" s="172">
        <f t="shared" ref="I531:I536" si="130">I101</f>
        <v>0</v>
      </c>
      <c r="J531" s="171"/>
      <c r="K531" s="171"/>
    </row>
    <row r="532" spans="1:11" s="173" customFormat="1" hidden="1" x14ac:dyDescent="0.25">
      <c r="A532" s="102" t="s">
        <v>22</v>
      </c>
      <c r="B532" s="1100" t="s">
        <v>339</v>
      </c>
      <c r="C532" s="1100"/>
      <c r="D532" s="171">
        <f>D102</f>
        <v>0</v>
      </c>
      <c r="E532" s="171">
        <f>E102</f>
        <v>0</v>
      </c>
      <c r="F532" s="171">
        <f>F102</f>
        <v>0</v>
      </c>
      <c r="G532" s="171">
        <f>G102</f>
        <v>0</v>
      </c>
      <c r="H532" s="171">
        <f>H102</f>
        <v>0</v>
      </c>
      <c r="I532" s="172">
        <f t="shared" si="130"/>
        <v>67684</v>
      </c>
      <c r="J532" s="171"/>
      <c r="K532" s="171"/>
    </row>
    <row r="533" spans="1:11" s="173" customFormat="1" ht="15.75" hidden="1" customHeight="1" x14ac:dyDescent="0.25">
      <c r="A533" s="102"/>
      <c r="B533" s="1100" t="s">
        <v>340</v>
      </c>
      <c r="C533" s="1100"/>
      <c r="D533" s="171">
        <v>0</v>
      </c>
      <c r="E533" s="171">
        <v>0</v>
      </c>
      <c r="F533" s="171">
        <v>0</v>
      </c>
      <c r="G533" s="171">
        <v>0</v>
      </c>
      <c r="H533" s="171">
        <v>0</v>
      </c>
      <c r="I533" s="172">
        <f t="shared" si="130"/>
        <v>0</v>
      </c>
      <c r="J533" s="171"/>
      <c r="K533" s="171"/>
    </row>
    <row r="534" spans="1:11" s="173" customFormat="1" ht="15.75" hidden="1" customHeight="1" x14ac:dyDescent="0.25">
      <c r="A534" s="102" t="s">
        <v>331</v>
      </c>
      <c r="B534" s="1100" t="s">
        <v>341</v>
      </c>
      <c r="C534" s="1100"/>
      <c r="D534" s="171">
        <v>0</v>
      </c>
      <c r="E534" s="171">
        <v>0</v>
      </c>
      <c r="F534" s="171">
        <v>0</v>
      </c>
      <c r="G534" s="171">
        <v>0</v>
      </c>
      <c r="H534" s="171">
        <v>0</v>
      </c>
      <c r="I534" s="172">
        <f t="shared" si="130"/>
        <v>0</v>
      </c>
      <c r="J534" s="171"/>
      <c r="K534" s="171"/>
    </row>
    <row r="535" spans="1:11" s="173" customFormat="1" ht="15.75" hidden="1" customHeight="1" x14ac:dyDescent="0.25">
      <c r="A535" s="102" t="s">
        <v>342</v>
      </c>
      <c r="B535" s="1100" t="s">
        <v>343</v>
      </c>
      <c r="C535" s="1100"/>
      <c r="D535" s="171">
        <v>0</v>
      </c>
      <c r="E535" s="171">
        <v>0</v>
      </c>
      <c r="F535" s="171">
        <v>0</v>
      </c>
      <c r="G535" s="171">
        <v>0</v>
      </c>
      <c r="H535" s="171">
        <v>0</v>
      </c>
      <c r="I535" s="172">
        <f t="shared" si="130"/>
        <v>0</v>
      </c>
      <c r="J535" s="171"/>
      <c r="K535" s="171"/>
    </row>
    <row r="536" spans="1:11" s="422" customFormat="1" ht="15.75" hidden="1" customHeight="1" thickBot="1" x14ac:dyDescent="0.3">
      <c r="A536" s="419" t="s">
        <v>344</v>
      </c>
      <c r="B536" s="1101" t="s">
        <v>345</v>
      </c>
      <c r="C536" s="1101"/>
      <c r="D536" s="420">
        <v>0</v>
      </c>
      <c r="E536" s="420">
        <v>0</v>
      </c>
      <c r="F536" s="420">
        <v>0</v>
      </c>
      <c r="G536" s="420">
        <v>0</v>
      </c>
      <c r="H536" s="420">
        <v>0</v>
      </c>
      <c r="I536" s="421">
        <f t="shared" si="130"/>
        <v>0</v>
      </c>
      <c r="J536" s="420"/>
      <c r="K536" s="420"/>
    </row>
    <row r="537" spans="1:11" s="173" customFormat="1" ht="9" hidden="1" customHeight="1" x14ac:dyDescent="0.25">
      <c r="A537" s="423"/>
      <c r="B537" s="424"/>
      <c r="C537" s="424"/>
      <c r="D537" s="425"/>
      <c r="E537" s="425"/>
      <c r="F537" s="425"/>
      <c r="G537" s="425"/>
      <c r="H537" s="425"/>
      <c r="I537" s="172"/>
      <c r="J537" s="425"/>
      <c r="K537" s="425"/>
    </row>
    <row r="538" spans="1:11" ht="19.5" thickBot="1" x14ac:dyDescent="0.35">
      <c r="A538" s="407" t="s">
        <v>346</v>
      </c>
      <c r="B538" s="407"/>
      <c r="C538" s="407"/>
      <c r="D538" s="426"/>
      <c r="E538" s="426"/>
      <c r="F538" s="426"/>
      <c r="G538" s="426"/>
      <c r="H538" s="426"/>
      <c r="I538" s="407"/>
      <c r="J538" s="426"/>
      <c r="K538" s="426"/>
    </row>
    <row r="539" spans="1:11" s="410" customFormat="1" ht="82.5" customHeight="1" thickBot="1" x14ac:dyDescent="0.3">
      <c r="A539" s="1082" t="s">
        <v>7</v>
      </c>
      <c r="B539" s="1083" t="s">
        <v>8</v>
      </c>
      <c r="C539" s="1083"/>
      <c r="D539" s="409" t="str">
        <f t="shared" ref="D539:I539" si="131">D525</f>
        <v>Przewidywane 
wykonanie 
w 2013 r.</v>
      </c>
      <c r="E539" s="409" t="str">
        <f t="shared" si="131"/>
        <v xml:space="preserve">Plan 
na 2014 r. 
</v>
      </c>
      <c r="F539" s="409" t="str">
        <f t="shared" si="131"/>
        <v>Projekt planu 
na 2015 r.</v>
      </c>
      <c r="G539" s="409" t="str">
        <f t="shared" si="131"/>
        <v>Projekt planu 
na 2016 r.</v>
      </c>
      <c r="H539" s="409" t="str">
        <f t="shared" si="131"/>
        <v>Projekt planu 
na 2017 r.</v>
      </c>
      <c r="I539" s="1044" t="str">
        <f t="shared" si="131"/>
        <v>Projekt
planu KASOWO
na 2012 rok</v>
      </c>
      <c r="J539" s="409" t="str">
        <f>J14</f>
        <v>Wniosek o przeniesienie</v>
      </c>
      <c r="K539" s="409" t="str">
        <f>K14</f>
        <v>Plan po zmianach</v>
      </c>
    </row>
    <row r="540" spans="1:11" s="410" customFormat="1" ht="16.5" customHeight="1" thickBot="1" x14ac:dyDescent="0.3">
      <c r="A540" s="1082"/>
      <c r="B540" s="1083"/>
      <c r="C540" s="1083"/>
      <c r="D540" s="1095" t="str">
        <f>D526</f>
        <v>w tysiącach złotych</v>
      </c>
      <c r="E540" s="1096"/>
      <c r="F540" s="1096"/>
      <c r="G540" s="1096"/>
      <c r="H540" s="1096"/>
      <c r="I540" s="1096"/>
      <c r="J540" s="1096"/>
      <c r="K540" s="1097"/>
    </row>
    <row r="541" spans="1:11" ht="12.75" customHeight="1" thickBot="1" x14ac:dyDescent="0.3">
      <c r="A541" s="30" t="s">
        <v>347</v>
      </c>
      <c r="B541" s="1099">
        <v>2</v>
      </c>
      <c r="C541" s="1099"/>
      <c r="D541" s="427">
        <v>3</v>
      </c>
      <c r="E541" s="1043">
        <v>3</v>
      </c>
      <c r="F541" s="1043">
        <v>5</v>
      </c>
      <c r="G541" s="1043">
        <v>6</v>
      </c>
      <c r="H541" s="1043">
        <v>7</v>
      </c>
      <c r="I541" s="428">
        <v>4</v>
      </c>
      <c r="J541" s="1043">
        <v>4</v>
      </c>
      <c r="K541" s="1043">
        <v>5</v>
      </c>
    </row>
    <row r="542" spans="1:11" x14ac:dyDescent="0.25">
      <c r="A542" s="429"/>
      <c r="B542" s="31"/>
      <c r="C542" s="430"/>
      <c r="D542" s="1018"/>
      <c r="E542" s="1018"/>
      <c r="F542" s="1018"/>
      <c r="G542" s="1018"/>
      <c r="H542" s="1019"/>
      <c r="I542" s="1020"/>
      <c r="J542" s="1018"/>
      <c r="K542" s="1018"/>
    </row>
    <row r="543" spans="1:11" s="380" customFormat="1" x14ac:dyDescent="0.25">
      <c r="A543" s="431" t="s">
        <v>19</v>
      </c>
      <c r="B543" s="432" t="s">
        <v>348</v>
      </c>
      <c r="C543" s="433"/>
      <c r="D543" s="434">
        <f>SUM(D544:D545)</f>
        <v>551813</v>
      </c>
      <c r="E543" s="434">
        <f>SUM(E544:E545)</f>
        <v>311590</v>
      </c>
      <c r="F543" s="434">
        <f t="shared" ref="F543:K543" si="132">SUM(F544:F545)</f>
        <v>311590</v>
      </c>
      <c r="G543" s="434">
        <f t="shared" si="132"/>
        <v>311590</v>
      </c>
      <c r="H543" s="434">
        <f t="shared" si="132"/>
        <v>311590</v>
      </c>
      <c r="I543" s="434">
        <f t="shared" si="132"/>
        <v>311590</v>
      </c>
      <c r="J543" s="434">
        <f t="shared" si="132"/>
        <v>0</v>
      </c>
      <c r="K543" s="434">
        <f t="shared" si="132"/>
        <v>311590</v>
      </c>
    </row>
    <row r="544" spans="1:11" x14ac:dyDescent="0.25">
      <c r="A544" s="298" t="s">
        <v>21</v>
      </c>
      <c r="B544" s="415" t="s">
        <v>349</v>
      </c>
      <c r="C544" s="416"/>
      <c r="D544" s="435">
        <v>251813</v>
      </c>
      <c r="E544" s="435">
        <v>211590</v>
      </c>
      <c r="F544" s="435">
        <v>211590</v>
      </c>
      <c r="G544" s="435">
        <v>211590</v>
      </c>
      <c r="H544" s="435">
        <v>211590</v>
      </c>
      <c r="I544" s="435">
        <v>211590</v>
      </c>
      <c r="J544" s="435"/>
      <c r="K544" s="435">
        <f>E544+J544</f>
        <v>211590</v>
      </c>
    </row>
    <row r="545" spans="1:11" ht="16.5" thickBot="1" x14ac:dyDescent="0.3">
      <c r="A545" s="436" t="s">
        <v>22</v>
      </c>
      <c r="B545" s="437" t="s">
        <v>350</v>
      </c>
      <c r="C545" s="438"/>
      <c r="D545" s="439">
        <v>300000</v>
      </c>
      <c r="E545" s="439">
        <v>100000</v>
      </c>
      <c r="F545" s="439">
        <v>100000</v>
      </c>
      <c r="G545" s="439">
        <v>100000</v>
      </c>
      <c r="H545" s="439">
        <v>100000</v>
      </c>
      <c r="I545" s="439">
        <v>100000</v>
      </c>
      <c r="J545" s="439"/>
      <c r="K545" s="435">
        <f>E545+J545</f>
        <v>100000</v>
      </c>
    </row>
    <row r="546" spans="1:11" x14ac:dyDescent="0.25">
      <c r="D546" s="440"/>
      <c r="E546" s="440"/>
      <c r="F546" s="440"/>
      <c r="G546" s="440"/>
      <c r="H546" s="440"/>
      <c r="I546" s="441"/>
      <c r="J546" s="440"/>
      <c r="K546" s="440"/>
    </row>
    <row r="547" spans="1:11" ht="15.75" customHeight="1" x14ac:dyDescent="0.25">
      <c r="B547" s="82" t="s">
        <v>351</v>
      </c>
      <c r="C547" s="82"/>
      <c r="D547" s="442"/>
      <c r="E547" s="442"/>
      <c r="F547" s="442"/>
      <c r="G547" s="442"/>
      <c r="H547" s="442"/>
      <c r="I547" s="82"/>
      <c r="J547" s="442"/>
      <c r="K547" s="442"/>
    </row>
    <row r="548" spans="1:11" x14ac:dyDescent="0.25">
      <c r="A548" s="443"/>
      <c r="B548" s="82" t="s">
        <v>352</v>
      </c>
      <c r="C548" s="82"/>
      <c r="D548" s="442"/>
      <c r="E548" s="442"/>
      <c r="F548" s="442"/>
      <c r="G548" s="442"/>
      <c r="H548" s="442"/>
      <c r="I548" s="82"/>
      <c r="J548" s="442"/>
      <c r="K548" s="442"/>
    </row>
    <row r="549" spans="1:11" x14ac:dyDescent="0.25">
      <c r="A549" s="443"/>
      <c r="B549" s="82" t="s">
        <v>353</v>
      </c>
      <c r="C549" s="82"/>
      <c r="D549" s="442"/>
      <c r="E549" s="442"/>
      <c r="F549" s="442"/>
      <c r="G549" s="442"/>
      <c r="H549" s="442"/>
      <c r="I549" s="82"/>
      <c r="J549" s="442"/>
      <c r="K549" s="442"/>
    </row>
    <row r="550" spans="1:11" x14ac:dyDescent="0.25">
      <c r="A550" s="443"/>
      <c r="B550" s="82" t="s">
        <v>354</v>
      </c>
      <c r="C550" s="82"/>
      <c r="D550" s="442"/>
      <c r="E550" s="442"/>
      <c r="F550" s="442"/>
      <c r="G550" s="442"/>
      <c r="H550" s="442"/>
      <c r="I550" s="82"/>
      <c r="J550" s="442"/>
      <c r="K550" s="442"/>
    </row>
    <row r="551" spans="1:11" x14ac:dyDescent="0.25">
      <c r="A551" s="443"/>
      <c r="B551" s="82" t="s">
        <v>355</v>
      </c>
      <c r="C551" s="82"/>
      <c r="D551" s="10"/>
      <c r="E551" s="10"/>
      <c r="F551" s="10"/>
      <c r="G551" s="10"/>
      <c r="H551" s="442"/>
      <c r="I551" s="82"/>
      <c r="J551" s="10"/>
      <c r="K551" s="10"/>
    </row>
    <row r="552" spans="1:11" x14ac:dyDescent="0.25">
      <c r="A552" s="443"/>
      <c r="B552" s="5"/>
      <c r="D552" s="10"/>
      <c r="E552" s="10"/>
      <c r="F552" s="10"/>
      <c r="G552" s="10"/>
      <c r="H552" s="10"/>
      <c r="J552" s="10"/>
      <c r="K552" s="10"/>
    </row>
    <row r="553" spans="1:11" x14ac:dyDescent="0.25">
      <c r="A553" s="443"/>
      <c r="B553" s="82" t="s">
        <v>356</v>
      </c>
      <c r="D553" s="10"/>
      <c r="E553" s="10"/>
      <c r="F553" s="10"/>
      <c r="G553" s="10"/>
      <c r="H553" s="10"/>
      <c r="J553" s="10"/>
      <c r="K553" s="10"/>
    </row>
    <row r="554" spans="1:11" x14ac:dyDescent="0.25">
      <c r="A554" s="443"/>
      <c r="B554" s="444" t="s">
        <v>357</v>
      </c>
      <c r="D554" s="10"/>
      <c r="E554" s="10"/>
      <c r="F554" s="10"/>
      <c r="G554" s="10"/>
      <c r="H554" s="10"/>
      <c r="J554" s="10"/>
      <c r="K554" s="10"/>
    </row>
    <row r="555" spans="1:11" x14ac:dyDescent="0.25">
      <c r="A555" s="443"/>
      <c r="B555" s="82"/>
      <c r="D555" s="10"/>
      <c r="E555" s="10"/>
      <c r="F555" s="10"/>
      <c r="G555" s="10"/>
      <c r="H555" s="10"/>
      <c r="J555" s="10"/>
      <c r="K555" s="10"/>
    </row>
    <row r="556" spans="1:11" x14ac:dyDescent="0.25">
      <c r="A556" s="443"/>
      <c r="B556" s="82"/>
      <c r="D556" s="10"/>
      <c r="E556" s="10"/>
      <c r="F556" s="10"/>
      <c r="G556" s="10"/>
      <c r="H556" s="10"/>
      <c r="J556" s="10"/>
      <c r="K556" s="10"/>
    </row>
    <row r="557" spans="1:11" x14ac:dyDescent="0.25">
      <c r="A557" s="443"/>
      <c r="B557" s="82" t="s">
        <v>358</v>
      </c>
      <c r="D557" s="10"/>
      <c r="E557" s="10"/>
      <c r="F557" s="10"/>
      <c r="G557" s="10"/>
      <c r="H557" s="10"/>
      <c r="J557" s="10"/>
      <c r="K557" s="10"/>
    </row>
    <row r="558" spans="1:11" x14ac:dyDescent="0.25">
      <c r="A558" s="443"/>
      <c r="B558" s="82"/>
      <c r="D558" s="10"/>
      <c r="E558" s="10"/>
      <c r="F558" s="10"/>
      <c r="G558" s="10"/>
      <c r="H558" s="10"/>
      <c r="J558" s="10"/>
      <c r="K558" s="10"/>
    </row>
    <row r="559" spans="1:11" x14ac:dyDescent="0.25">
      <c r="A559" s="443"/>
      <c r="B559" s="82"/>
      <c r="D559" s="10"/>
      <c r="E559" s="10"/>
      <c r="F559" s="10"/>
      <c r="G559" s="10"/>
      <c r="H559" s="10"/>
      <c r="J559" s="10"/>
      <c r="K559" s="10"/>
    </row>
    <row r="560" spans="1:11" x14ac:dyDescent="0.25">
      <c r="A560" s="443"/>
      <c r="B560" s="82" t="s">
        <v>359</v>
      </c>
      <c r="D560" s="10"/>
      <c r="E560" s="10"/>
      <c r="F560" s="10"/>
      <c r="G560" s="10"/>
      <c r="H560" s="10"/>
      <c r="J560" s="10"/>
      <c r="K560" s="10"/>
    </row>
    <row r="561" spans="1:11" x14ac:dyDescent="0.25">
      <c r="A561" s="443"/>
      <c r="B561" s="82"/>
      <c r="D561" s="10"/>
      <c r="E561" s="10"/>
      <c r="F561" s="10"/>
      <c r="G561" s="10"/>
      <c r="H561" s="10"/>
      <c r="J561" s="10"/>
      <c r="K561" s="10"/>
    </row>
    <row r="562" spans="1:11" x14ac:dyDescent="0.25">
      <c r="D562" s="10"/>
      <c r="E562" s="10"/>
      <c r="F562" s="10"/>
      <c r="G562" s="10"/>
      <c r="H562" s="10"/>
      <c r="J562" s="10"/>
      <c r="K562" s="10"/>
    </row>
    <row r="563" spans="1:11" x14ac:dyDescent="0.25">
      <c r="D563" s="10"/>
      <c r="E563" s="10"/>
      <c r="F563" s="10"/>
      <c r="G563" s="10"/>
      <c r="H563" s="10"/>
      <c r="J563" s="10"/>
      <c r="K563" s="10"/>
    </row>
    <row r="564" spans="1:11" x14ac:dyDescent="0.25">
      <c r="D564" s="10"/>
      <c r="E564" s="10"/>
      <c r="F564" s="10"/>
      <c r="G564" s="10"/>
      <c r="H564" s="10"/>
      <c r="J564" s="10"/>
      <c r="K564" s="10"/>
    </row>
    <row r="565" spans="1:11" x14ac:dyDescent="0.25">
      <c r="D565" s="10"/>
      <c r="E565" s="10"/>
      <c r="F565" s="10"/>
      <c r="G565" s="10"/>
      <c r="H565" s="10"/>
      <c r="J565" s="10"/>
      <c r="K565" s="10"/>
    </row>
    <row r="566" spans="1:11" x14ac:dyDescent="0.25">
      <c r="D566" s="10"/>
      <c r="E566" s="10"/>
      <c r="F566" s="10"/>
      <c r="G566" s="10"/>
      <c r="H566" s="10"/>
      <c r="J566" s="10"/>
      <c r="K566" s="10"/>
    </row>
    <row r="567" spans="1:11" x14ac:dyDescent="0.25">
      <c r="D567" s="10"/>
      <c r="E567" s="10"/>
      <c r="F567" s="10"/>
      <c r="G567" s="10"/>
      <c r="H567" s="10"/>
      <c r="J567" s="10"/>
      <c r="K567" s="10"/>
    </row>
    <row r="568" spans="1:11" x14ac:dyDescent="0.25">
      <c r="D568" s="10"/>
      <c r="E568" s="10"/>
      <c r="F568" s="10"/>
      <c r="G568" s="10"/>
      <c r="H568" s="10"/>
      <c r="J568" s="10"/>
      <c r="K568" s="10"/>
    </row>
    <row r="569" spans="1:11" x14ac:dyDescent="0.25">
      <c r="D569" s="10"/>
      <c r="E569" s="10"/>
      <c r="F569" s="10"/>
      <c r="G569" s="10"/>
      <c r="H569" s="10"/>
      <c r="J569" s="10"/>
      <c r="K569" s="10"/>
    </row>
    <row r="570" spans="1:11" x14ac:dyDescent="0.25">
      <c r="D570" s="10"/>
      <c r="E570" s="10"/>
      <c r="F570" s="10"/>
      <c r="G570" s="10"/>
      <c r="H570" s="10"/>
      <c r="J570" s="10"/>
      <c r="K570" s="10"/>
    </row>
    <row r="571" spans="1:11" x14ac:dyDescent="0.25">
      <c r="D571" s="10"/>
      <c r="E571" s="10"/>
      <c r="F571" s="10"/>
      <c r="G571" s="10"/>
      <c r="H571" s="10"/>
      <c r="J571" s="10"/>
      <c r="K571" s="10"/>
    </row>
    <row r="572" spans="1:11" x14ac:dyDescent="0.25">
      <c r="D572" s="10"/>
      <c r="E572" s="10"/>
      <c r="F572" s="10"/>
      <c r="G572" s="10"/>
      <c r="H572" s="10"/>
      <c r="J572" s="10"/>
      <c r="K572" s="10"/>
    </row>
    <row r="573" spans="1:11" x14ac:dyDescent="0.25">
      <c r="D573" s="10"/>
      <c r="E573" s="10"/>
      <c r="F573" s="10"/>
      <c r="G573" s="10"/>
      <c r="H573" s="10"/>
      <c r="J573" s="10"/>
      <c r="K573" s="10"/>
    </row>
    <row r="574" spans="1:11" x14ac:dyDescent="0.25">
      <c r="D574" s="10"/>
      <c r="E574" s="10"/>
      <c r="F574" s="10"/>
      <c r="G574" s="10"/>
      <c r="H574" s="10"/>
      <c r="J574" s="10"/>
      <c r="K574" s="10"/>
    </row>
    <row r="575" spans="1:11" x14ac:dyDescent="0.25">
      <c r="D575" s="10"/>
      <c r="E575" s="10"/>
      <c r="F575" s="10"/>
      <c r="G575" s="10"/>
      <c r="H575" s="10"/>
      <c r="J575" s="10"/>
      <c r="K575" s="10"/>
    </row>
    <row r="576" spans="1:11" x14ac:dyDescent="0.25">
      <c r="D576" s="10"/>
      <c r="E576" s="10"/>
      <c r="F576" s="10"/>
      <c r="G576" s="10"/>
      <c r="H576" s="10"/>
      <c r="J576" s="10"/>
      <c r="K576" s="10"/>
    </row>
    <row r="577" spans="4:11" x14ac:dyDescent="0.25">
      <c r="D577" s="10"/>
      <c r="E577" s="10"/>
      <c r="F577" s="10"/>
      <c r="G577" s="10"/>
      <c r="H577" s="10"/>
      <c r="J577" s="10"/>
      <c r="K577" s="10"/>
    </row>
    <row r="578" spans="4:11" x14ac:dyDescent="0.25">
      <c r="D578" s="10"/>
      <c r="E578" s="10"/>
      <c r="F578" s="10"/>
      <c r="G578" s="10"/>
      <c r="H578" s="10"/>
      <c r="J578" s="10"/>
      <c r="K578" s="10"/>
    </row>
    <row r="579" spans="4:11" x14ac:dyDescent="0.25">
      <c r="D579" s="10"/>
      <c r="E579" s="10"/>
      <c r="F579" s="10"/>
      <c r="G579" s="10"/>
      <c r="H579" s="10"/>
      <c r="J579" s="10"/>
      <c r="K579" s="10"/>
    </row>
    <row r="580" spans="4:11" x14ac:dyDescent="0.25">
      <c r="D580" s="10"/>
      <c r="E580" s="10"/>
      <c r="F580" s="10"/>
      <c r="G580" s="10"/>
      <c r="H580" s="10"/>
      <c r="J580" s="10"/>
      <c r="K580" s="10"/>
    </row>
    <row r="581" spans="4:11" x14ac:dyDescent="0.25">
      <c r="D581" s="10"/>
      <c r="E581" s="10"/>
      <c r="F581" s="10"/>
      <c r="G581" s="10"/>
      <c r="H581" s="10"/>
      <c r="J581" s="10"/>
      <c r="K581" s="10"/>
    </row>
    <row r="582" spans="4:11" x14ac:dyDescent="0.25">
      <c r="D582" s="10"/>
      <c r="E582" s="10"/>
      <c r="F582" s="10"/>
      <c r="G582" s="10"/>
      <c r="H582" s="10"/>
      <c r="J582" s="10"/>
      <c r="K582" s="10"/>
    </row>
    <row r="583" spans="4:11" x14ac:dyDescent="0.25">
      <c r="D583" s="10"/>
      <c r="E583" s="10"/>
      <c r="F583" s="10"/>
      <c r="G583" s="10"/>
      <c r="H583" s="10"/>
      <c r="J583" s="10"/>
      <c r="K583" s="10"/>
    </row>
    <row r="584" spans="4:11" x14ac:dyDescent="0.25">
      <c r="D584" s="10"/>
      <c r="E584" s="10"/>
      <c r="F584" s="10"/>
      <c r="G584" s="10"/>
      <c r="H584" s="10"/>
      <c r="J584" s="10"/>
      <c r="K584" s="10"/>
    </row>
    <row r="585" spans="4:11" x14ac:dyDescent="0.25">
      <c r="D585" s="10"/>
      <c r="E585" s="10"/>
      <c r="F585" s="10"/>
      <c r="G585" s="10"/>
      <c r="H585" s="10"/>
      <c r="J585" s="10"/>
      <c r="K585" s="10"/>
    </row>
    <row r="586" spans="4:11" x14ac:dyDescent="0.25">
      <c r="D586" s="10"/>
      <c r="E586" s="10"/>
      <c r="F586" s="10"/>
      <c r="G586" s="10"/>
      <c r="H586" s="10"/>
      <c r="J586" s="10"/>
      <c r="K586" s="10"/>
    </row>
    <row r="587" spans="4:11" x14ac:dyDescent="0.25">
      <c r="D587" s="10"/>
      <c r="E587" s="10"/>
      <c r="F587" s="10"/>
      <c r="G587" s="10"/>
      <c r="H587" s="10"/>
      <c r="J587" s="10"/>
      <c r="K587" s="10"/>
    </row>
    <row r="588" spans="4:11" x14ac:dyDescent="0.25">
      <c r="D588" s="10"/>
      <c r="E588" s="10"/>
      <c r="F588" s="10"/>
      <c r="G588" s="10"/>
      <c r="H588" s="10"/>
      <c r="J588" s="10"/>
      <c r="K588" s="10"/>
    </row>
    <row r="589" spans="4:11" x14ac:dyDescent="0.25">
      <c r="D589" s="10"/>
      <c r="E589" s="10"/>
      <c r="F589" s="10"/>
      <c r="G589" s="10"/>
      <c r="H589" s="10"/>
      <c r="J589" s="10"/>
      <c r="K589" s="10"/>
    </row>
    <row r="590" spans="4:11" x14ac:dyDescent="0.25">
      <c r="D590" s="10"/>
      <c r="E590" s="10"/>
      <c r="F590" s="10"/>
      <c r="G590" s="10"/>
      <c r="H590" s="10"/>
      <c r="J590" s="10"/>
      <c r="K590" s="10"/>
    </row>
    <row r="591" spans="4:11" x14ac:dyDescent="0.25">
      <c r="D591" s="10"/>
      <c r="E591" s="10"/>
      <c r="F591" s="10"/>
      <c r="G591" s="10"/>
      <c r="H591" s="10"/>
      <c r="J591" s="10"/>
      <c r="K591" s="10"/>
    </row>
    <row r="592" spans="4:11" x14ac:dyDescent="0.25">
      <c r="D592" s="10"/>
      <c r="E592" s="10"/>
      <c r="F592" s="10"/>
      <c r="G592" s="10"/>
      <c r="H592" s="10"/>
      <c r="J592" s="10"/>
      <c r="K592" s="10"/>
    </row>
    <row r="593" spans="4:11" x14ac:dyDescent="0.25">
      <c r="D593" s="10"/>
      <c r="E593" s="10"/>
      <c r="F593" s="10"/>
      <c r="G593" s="10"/>
      <c r="H593" s="10"/>
      <c r="J593" s="10"/>
      <c r="K593" s="10"/>
    </row>
    <row r="594" spans="4:11" x14ac:dyDescent="0.25">
      <c r="D594" s="10"/>
      <c r="E594" s="10"/>
      <c r="F594" s="10"/>
      <c r="G594" s="10"/>
      <c r="H594" s="10"/>
      <c r="J594" s="10"/>
      <c r="K594" s="10"/>
    </row>
    <row r="595" spans="4:11" x14ac:dyDescent="0.25">
      <c r="D595" s="10"/>
      <c r="E595" s="10"/>
      <c r="F595" s="10"/>
      <c r="G595" s="10"/>
      <c r="H595" s="10"/>
      <c r="J595" s="10"/>
      <c r="K595" s="10"/>
    </row>
    <row r="596" spans="4:11" x14ac:dyDescent="0.25">
      <c r="D596" s="10"/>
      <c r="E596" s="10"/>
      <c r="F596" s="10"/>
      <c r="G596" s="10"/>
      <c r="H596" s="10"/>
      <c r="J596" s="10"/>
      <c r="K596" s="10"/>
    </row>
    <row r="597" spans="4:11" x14ac:dyDescent="0.25">
      <c r="D597" s="10"/>
      <c r="E597" s="10"/>
      <c r="F597" s="10"/>
      <c r="G597" s="10"/>
      <c r="H597" s="10"/>
      <c r="J597" s="10"/>
      <c r="K597" s="10"/>
    </row>
    <row r="598" spans="4:11" x14ac:dyDescent="0.25">
      <c r="D598" s="10"/>
      <c r="E598" s="10"/>
      <c r="F598" s="10"/>
      <c r="G598" s="10"/>
      <c r="H598" s="10"/>
      <c r="J598" s="10"/>
      <c r="K598" s="10"/>
    </row>
    <row r="599" spans="4:11" x14ac:dyDescent="0.25">
      <c r="D599" s="10"/>
      <c r="E599" s="10"/>
      <c r="F599" s="10"/>
      <c r="G599" s="10"/>
      <c r="H599" s="10"/>
      <c r="J599" s="10"/>
      <c r="K599" s="10"/>
    </row>
    <row r="600" spans="4:11" x14ac:dyDescent="0.25">
      <c r="D600" s="10"/>
      <c r="E600" s="10"/>
      <c r="F600" s="10"/>
      <c r="G600" s="10"/>
      <c r="H600" s="10"/>
      <c r="J600" s="10"/>
      <c r="K600" s="10"/>
    </row>
    <row r="601" spans="4:11" x14ac:dyDescent="0.25">
      <c r="D601" s="10"/>
      <c r="E601" s="10"/>
      <c r="F601" s="10"/>
      <c r="G601" s="10"/>
      <c r="H601" s="10"/>
      <c r="J601" s="10"/>
      <c r="K601" s="10"/>
    </row>
    <row r="602" spans="4:11" x14ac:dyDescent="0.25">
      <c r="D602" s="10"/>
      <c r="E602" s="10"/>
      <c r="F602" s="10"/>
      <c r="G602" s="10"/>
      <c r="H602" s="10"/>
      <c r="J602" s="10"/>
      <c r="K602" s="10"/>
    </row>
    <row r="603" spans="4:11" x14ac:dyDescent="0.25">
      <c r="D603" s="10"/>
      <c r="E603" s="10"/>
      <c r="F603" s="10"/>
      <c r="G603" s="10"/>
      <c r="H603" s="10"/>
      <c r="J603" s="10"/>
      <c r="K603" s="10"/>
    </row>
    <row r="604" spans="4:11" x14ac:dyDescent="0.25">
      <c r="D604" s="10"/>
      <c r="E604" s="10"/>
      <c r="F604" s="10"/>
      <c r="G604" s="10"/>
      <c r="H604" s="10"/>
      <c r="J604" s="10"/>
      <c r="K604" s="10"/>
    </row>
    <row r="605" spans="4:11" x14ac:dyDescent="0.25">
      <c r="D605" s="10"/>
      <c r="E605" s="10"/>
      <c r="F605" s="10"/>
      <c r="G605" s="10"/>
      <c r="H605" s="10"/>
      <c r="J605" s="10"/>
      <c r="K605" s="10"/>
    </row>
    <row r="606" spans="4:11" x14ac:dyDescent="0.25">
      <c r="D606" s="10"/>
      <c r="E606" s="10"/>
      <c r="F606" s="10"/>
      <c r="G606" s="10"/>
      <c r="H606" s="10"/>
      <c r="J606" s="10"/>
      <c r="K606" s="10"/>
    </row>
    <row r="607" spans="4:11" x14ac:dyDescent="0.25">
      <c r="D607" s="10"/>
      <c r="E607" s="10"/>
      <c r="F607" s="10"/>
      <c r="G607" s="10"/>
      <c r="H607" s="10"/>
      <c r="J607" s="10"/>
      <c r="K607" s="10"/>
    </row>
    <row r="608" spans="4:11" x14ac:dyDescent="0.25">
      <c r="D608" s="10"/>
      <c r="E608" s="10"/>
      <c r="F608" s="10"/>
      <c r="G608" s="10"/>
      <c r="H608" s="10"/>
      <c r="J608" s="10"/>
      <c r="K608" s="10"/>
    </row>
    <row r="609" spans="4:11" x14ac:dyDescent="0.25">
      <c r="D609" s="10"/>
      <c r="E609" s="10"/>
      <c r="F609" s="10"/>
      <c r="G609" s="10"/>
      <c r="H609" s="10"/>
      <c r="J609" s="10"/>
      <c r="K609" s="10"/>
    </row>
    <row r="610" spans="4:11" x14ac:dyDescent="0.25">
      <c r="D610" s="10"/>
      <c r="E610" s="10"/>
      <c r="F610" s="10"/>
      <c r="G610" s="10"/>
      <c r="H610" s="10"/>
      <c r="J610" s="10"/>
      <c r="K610" s="10"/>
    </row>
    <row r="611" spans="4:11" x14ac:dyDescent="0.25">
      <c r="D611" s="10"/>
      <c r="E611" s="10"/>
      <c r="F611" s="10"/>
      <c r="G611" s="10"/>
      <c r="H611" s="10"/>
      <c r="J611" s="10"/>
      <c r="K611" s="10"/>
    </row>
    <row r="612" spans="4:11" x14ac:dyDescent="0.25">
      <c r="D612" s="10"/>
      <c r="E612" s="10"/>
      <c r="F612" s="10"/>
      <c r="G612" s="10"/>
      <c r="H612" s="10"/>
      <c r="J612" s="10"/>
      <c r="K612" s="10"/>
    </row>
    <row r="613" spans="4:11" x14ac:dyDescent="0.25">
      <c r="D613" s="10"/>
      <c r="E613" s="10"/>
      <c r="F613" s="10"/>
      <c r="G613" s="10"/>
      <c r="H613" s="10"/>
      <c r="J613" s="10"/>
      <c r="K613" s="10"/>
    </row>
    <row r="614" spans="4:11" x14ac:dyDescent="0.25">
      <c r="D614" s="10"/>
      <c r="E614" s="10"/>
      <c r="F614" s="10"/>
      <c r="G614" s="10"/>
      <c r="H614" s="10"/>
      <c r="J614" s="10"/>
      <c r="K614" s="10"/>
    </row>
    <row r="615" spans="4:11" x14ac:dyDescent="0.25">
      <c r="D615" s="10"/>
      <c r="E615" s="10"/>
      <c r="F615" s="10"/>
      <c r="G615" s="10"/>
      <c r="H615" s="10"/>
      <c r="J615" s="10"/>
      <c r="K615" s="10"/>
    </row>
    <row r="616" spans="4:11" x14ac:dyDescent="0.25">
      <c r="D616" s="10"/>
      <c r="E616" s="10"/>
      <c r="F616" s="10"/>
      <c r="G616" s="10"/>
      <c r="H616" s="10"/>
      <c r="J616" s="10"/>
      <c r="K616" s="10"/>
    </row>
    <row r="617" spans="4:11" x14ac:dyDescent="0.25">
      <c r="D617" s="10"/>
      <c r="E617" s="10"/>
      <c r="F617" s="10"/>
      <c r="G617" s="10"/>
      <c r="H617" s="10"/>
      <c r="J617" s="10"/>
      <c r="K617" s="10"/>
    </row>
    <row r="618" spans="4:11" x14ac:dyDescent="0.25">
      <c r="D618" s="10"/>
      <c r="E618" s="10"/>
      <c r="F618" s="10"/>
      <c r="G618" s="10"/>
      <c r="H618" s="10"/>
      <c r="J618" s="10"/>
      <c r="K618" s="10"/>
    </row>
    <row r="619" spans="4:11" x14ac:dyDescent="0.25">
      <c r="D619" s="10"/>
      <c r="E619" s="10"/>
      <c r="F619" s="10"/>
      <c r="G619" s="10"/>
      <c r="H619" s="10"/>
      <c r="J619" s="10"/>
      <c r="K619" s="10"/>
    </row>
    <row r="620" spans="4:11" x14ac:dyDescent="0.25">
      <c r="D620" s="10"/>
      <c r="E620" s="10"/>
      <c r="F620" s="10"/>
      <c r="G620" s="10"/>
      <c r="H620" s="10"/>
      <c r="J620" s="10"/>
      <c r="K620" s="10"/>
    </row>
    <row r="621" spans="4:11" x14ac:dyDescent="0.25">
      <c r="D621" s="10"/>
      <c r="E621" s="10"/>
      <c r="F621" s="10"/>
      <c r="G621" s="10"/>
      <c r="H621" s="10"/>
      <c r="J621" s="10"/>
      <c r="K621" s="10"/>
    </row>
    <row r="622" spans="4:11" x14ac:dyDescent="0.25">
      <c r="D622" s="10"/>
      <c r="E622" s="10"/>
      <c r="F622" s="10"/>
      <c r="G622" s="10"/>
      <c r="H622" s="10"/>
      <c r="J622" s="10"/>
      <c r="K622" s="10"/>
    </row>
    <row r="623" spans="4:11" x14ac:dyDescent="0.25">
      <c r="D623" s="10"/>
      <c r="E623" s="10"/>
      <c r="F623" s="10"/>
      <c r="G623" s="10"/>
      <c r="H623" s="10"/>
      <c r="J623" s="10"/>
      <c r="K623" s="10"/>
    </row>
    <row r="624" spans="4:11" x14ac:dyDescent="0.25">
      <c r="D624" s="10"/>
      <c r="E624" s="10"/>
      <c r="F624" s="10"/>
      <c r="G624" s="10"/>
      <c r="H624" s="10"/>
      <c r="J624" s="10"/>
      <c r="K624" s="10"/>
    </row>
    <row r="625" spans="4:11" x14ac:dyDescent="0.25">
      <c r="D625" s="10"/>
      <c r="E625" s="10"/>
      <c r="F625" s="10"/>
      <c r="G625" s="10"/>
      <c r="H625" s="10"/>
      <c r="J625" s="10"/>
      <c r="K625" s="10"/>
    </row>
    <row r="626" spans="4:11" x14ac:dyDescent="0.25">
      <c r="D626" s="10"/>
      <c r="E626" s="10"/>
      <c r="F626" s="10"/>
      <c r="G626" s="10"/>
      <c r="H626" s="10"/>
      <c r="J626" s="10"/>
      <c r="K626" s="10"/>
    </row>
    <row r="627" spans="4:11" x14ac:dyDescent="0.25">
      <c r="D627" s="10"/>
      <c r="E627" s="10"/>
      <c r="F627" s="10"/>
      <c r="G627" s="10"/>
      <c r="H627" s="10"/>
      <c r="J627" s="10"/>
      <c r="K627" s="10"/>
    </row>
    <row r="628" spans="4:11" x14ac:dyDescent="0.25">
      <c r="D628" s="10"/>
      <c r="E628" s="10"/>
      <c r="F628" s="10"/>
      <c r="G628" s="10"/>
      <c r="H628" s="10"/>
      <c r="J628" s="10"/>
      <c r="K628" s="10"/>
    </row>
    <row r="629" spans="4:11" x14ac:dyDescent="0.25">
      <c r="D629" s="10"/>
      <c r="E629" s="10"/>
      <c r="F629" s="10"/>
      <c r="G629" s="10"/>
      <c r="H629" s="10"/>
      <c r="J629" s="10"/>
      <c r="K629" s="10"/>
    </row>
    <row r="630" spans="4:11" x14ac:dyDescent="0.25">
      <c r="D630" s="10"/>
      <c r="E630" s="10"/>
      <c r="F630" s="10"/>
      <c r="G630" s="10"/>
      <c r="H630" s="10"/>
      <c r="J630" s="10"/>
      <c r="K630" s="10"/>
    </row>
    <row r="631" spans="4:11" x14ac:dyDescent="0.25">
      <c r="D631" s="10"/>
      <c r="E631" s="10"/>
      <c r="F631" s="10"/>
      <c r="G631" s="10"/>
      <c r="H631" s="10"/>
      <c r="J631" s="10"/>
      <c r="K631" s="10"/>
    </row>
    <row r="632" spans="4:11" x14ac:dyDescent="0.25">
      <c r="D632" s="10"/>
      <c r="E632" s="10"/>
      <c r="F632" s="10"/>
      <c r="G632" s="10"/>
      <c r="H632" s="10"/>
      <c r="J632" s="10"/>
      <c r="K632" s="10"/>
    </row>
    <row r="633" spans="4:11" x14ac:dyDescent="0.25">
      <c r="D633" s="10"/>
      <c r="E633" s="10"/>
      <c r="F633" s="10"/>
      <c r="G633" s="10"/>
      <c r="H633" s="10"/>
      <c r="J633" s="10"/>
      <c r="K633" s="10"/>
    </row>
    <row r="634" spans="4:11" x14ac:dyDescent="0.25">
      <c r="D634" s="10"/>
      <c r="E634" s="10"/>
      <c r="F634" s="10"/>
      <c r="G634" s="10"/>
      <c r="H634" s="10"/>
      <c r="J634" s="10"/>
      <c r="K634" s="10"/>
    </row>
    <row r="635" spans="4:11" x14ac:dyDescent="0.25">
      <c r="D635" s="10"/>
      <c r="E635" s="10"/>
      <c r="F635" s="10"/>
      <c r="G635" s="10"/>
      <c r="H635" s="10"/>
      <c r="J635" s="10"/>
      <c r="K635" s="10"/>
    </row>
    <row r="636" spans="4:11" x14ac:dyDescent="0.25">
      <c r="D636" s="10"/>
      <c r="E636" s="10"/>
      <c r="F636" s="10"/>
      <c r="G636" s="10"/>
      <c r="H636" s="10"/>
      <c r="J636" s="10"/>
      <c r="K636" s="10"/>
    </row>
    <row r="637" spans="4:11" x14ac:dyDescent="0.25">
      <c r="D637" s="10"/>
      <c r="E637" s="10"/>
      <c r="F637" s="10"/>
      <c r="G637" s="10"/>
      <c r="H637" s="10"/>
      <c r="J637" s="10"/>
      <c r="K637" s="10"/>
    </row>
    <row r="638" spans="4:11" x14ac:dyDescent="0.25">
      <c r="D638" s="10"/>
      <c r="E638" s="10"/>
      <c r="F638" s="10"/>
      <c r="G638" s="10"/>
      <c r="H638" s="10"/>
      <c r="J638" s="10"/>
      <c r="K638" s="10"/>
    </row>
    <row r="639" spans="4:11" x14ac:dyDescent="0.25">
      <c r="D639" s="10"/>
      <c r="E639" s="10"/>
      <c r="F639" s="10"/>
      <c r="G639" s="10"/>
      <c r="H639" s="10"/>
      <c r="J639" s="10"/>
      <c r="K639" s="10"/>
    </row>
    <row r="640" spans="4:11" x14ac:dyDescent="0.25">
      <c r="D640" s="10"/>
      <c r="E640" s="10"/>
      <c r="F640" s="10"/>
      <c r="G640" s="10"/>
      <c r="H640" s="10"/>
      <c r="J640" s="10"/>
      <c r="K640" s="10"/>
    </row>
    <row r="641" spans="4:11" x14ac:dyDescent="0.25">
      <c r="D641" s="10"/>
      <c r="E641" s="10"/>
      <c r="F641" s="10"/>
      <c r="G641" s="10"/>
      <c r="H641" s="10"/>
      <c r="J641" s="10"/>
      <c r="K641" s="10"/>
    </row>
    <row r="642" spans="4:11" x14ac:dyDescent="0.25">
      <c r="D642" s="10"/>
      <c r="E642" s="10"/>
      <c r="F642" s="10"/>
      <c r="G642" s="10"/>
      <c r="H642" s="10"/>
      <c r="J642" s="10"/>
      <c r="K642" s="10"/>
    </row>
    <row r="643" spans="4:11" x14ac:dyDescent="0.25">
      <c r="D643" s="10"/>
      <c r="E643" s="10"/>
      <c r="F643" s="10"/>
      <c r="G643" s="10"/>
      <c r="H643" s="10"/>
      <c r="J643" s="10"/>
      <c r="K643" s="10"/>
    </row>
    <row r="644" spans="4:11" x14ac:dyDescent="0.25">
      <c r="D644" s="10"/>
      <c r="E644" s="10"/>
      <c r="F644" s="10"/>
      <c r="G644" s="10"/>
      <c r="H644" s="10"/>
      <c r="J644" s="10"/>
      <c r="K644" s="10"/>
    </row>
    <row r="645" spans="4:11" x14ac:dyDescent="0.25">
      <c r="D645" s="10"/>
      <c r="E645" s="10"/>
      <c r="F645" s="10"/>
      <c r="G645" s="10"/>
      <c r="H645" s="10"/>
      <c r="J645" s="10"/>
      <c r="K645" s="10"/>
    </row>
    <row r="646" spans="4:11" x14ac:dyDescent="0.25">
      <c r="D646" s="10"/>
      <c r="E646" s="10"/>
      <c r="F646" s="10"/>
      <c r="G646" s="10"/>
      <c r="H646" s="10"/>
      <c r="J646" s="10"/>
      <c r="K646" s="10"/>
    </row>
    <row r="647" spans="4:11" x14ac:dyDescent="0.25">
      <c r="D647" s="10"/>
      <c r="E647" s="10"/>
      <c r="F647" s="10"/>
      <c r="G647" s="10"/>
      <c r="H647" s="10"/>
      <c r="J647" s="10"/>
      <c r="K647" s="10"/>
    </row>
    <row r="648" spans="4:11" x14ac:dyDescent="0.25">
      <c r="D648" s="10"/>
      <c r="E648" s="10"/>
      <c r="F648" s="10"/>
      <c r="G648" s="10"/>
      <c r="H648" s="10"/>
      <c r="J648" s="10"/>
      <c r="K648" s="10"/>
    </row>
    <row r="649" spans="4:11" x14ac:dyDescent="0.25">
      <c r="D649" s="10"/>
      <c r="E649" s="10"/>
      <c r="F649" s="10"/>
      <c r="G649" s="10"/>
      <c r="H649" s="10"/>
      <c r="J649" s="10"/>
      <c r="K649" s="10"/>
    </row>
    <row r="650" spans="4:11" x14ac:dyDescent="0.25">
      <c r="D650" s="10"/>
      <c r="E650" s="10"/>
      <c r="F650" s="10"/>
      <c r="G650" s="10"/>
      <c r="H650" s="10"/>
      <c r="J650" s="10"/>
      <c r="K650" s="10"/>
    </row>
    <row r="651" spans="4:11" x14ac:dyDescent="0.25">
      <c r="D651" s="10"/>
      <c r="E651" s="10"/>
      <c r="F651" s="10"/>
      <c r="G651" s="10"/>
      <c r="H651" s="10"/>
      <c r="J651" s="10"/>
      <c r="K651" s="10"/>
    </row>
    <row r="652" spans="4:11" x14ac:dyDescent="0.25">
      <c r="D652" s="10"/>
      <c r="E652" s="10"/>
      <c r="F652" s="10"/>
      <c r="G652" s="10"/>
      <c r="H652" s="10"/>
      <c r="J652" s="10"/>
      <c r="K652" s="10"/>
    </row>
    <row r="653" spans="4:11" x14ac:dyDescent="0.25">
      <c r="D653" s="10"/>
      <c r="E653" s="10"/>
      <c r="F653" s="10"/>
      <c r="G653" s="10"/>
      <c r="H653" s="10"/>
      <c r="J653" s="10"/>
      <c r="K653" s="10"/>
    </row>
    <row r="654" spans="4:11" x14ac:dyDescent="0.25">
      <c r="D654" s="10"/>
      <c r="E654" s="10"/>
      <c r="F654" s="10"/>
      <c r="G654" s="10"/>
      <c r="H654" s="10"/>
      <c r="J654" s="10"/>
      <c r="K654" s="10"/>
    </row>
    <row r="655" spans="4:11" x14ac:dyDescent="0.25">
      <c r="D655" s="10"/>
      <c r="E655" s="10"/>
      <c r="F655" s="10"/>
      <c r="G655" s="10"/>
      <c r="H655" s="10"/>
      <c r="J655" s="10"/>
      <c r="K655" s="10"/>
    </row>
    <row r="656" spans="4:11" x14ac:dyDescent="0.25">
      <c r="D656" s="10"/>
      <c r="E656" s="10"/>
      <c r="F656" s="10"/>
      <c r="G656" s="10"/>
      <c r="H656" s="10"/>
      <c r="J656" s="10"/>
      <c r="K656" s="10"/>
    </row>
    <row r="657" spans="4:11" x14ac:dyDescent="0.25">
      <c r="D657" s="10"/>
      <c r="E657" s="10"/>
      <c r="F657" s="10"/>
      <c r="G657" s="10"/>
      <c r="H657" s="10"/>
      <c r="J657" s="10"/>
      <c r="K657" s="10"/>
    </row>
    <row r="658" spans="4:11" x14ac:dyDescent="0.25">
      <c r="D658" s="10"/>
      <c r="E658" s="10"/>
      <c r="F658" s="10"/>
      <c r="G658" s="10"/>
      <c r="H658" s="10"/>
      <c r="J658" s="10"/>
      <c r="K658" s="10"/>
    </row>
    <row r="659" spans="4:11" x14ac:dyDescent="0.25">
      <c r="D659" s="10"/>
      <c r="E659" s="10"/>
      <c r="F659" s="10"/>
      <c r="G659" s="10"/>
      <c r="H659" s="10"/>
      <c r="J659" s="10"/>
      <c r="K659" s="10"/>
    </row>
    <row r="660" spans="4:11" x14ac:dyDescent="0.25">
      <c r="D660" s="10"/>
      <c r="E660" s="10"/>
      <c r="F660" s="10"/>
      <c r="G660" s="10"/>
      <c r="H660" s="10"/>
      <c r="J660" s="10"/>
      <c r="K660" s="10"/>
    </row>
    <row r="661" spans="4:11" x14ac:dyDescent="0.25">
      <c r="D661" s="10"/>
      <c r="E661" s="10"/>
      <c r="F661" s="10"/>
      <c r="G661" s="10"/>
      <c r="H661" s="10"/>
      <c r="J661" s="10"/>
      <c r="K661" s="10"/>
    </row>
    <row r="662" spans="4:11" x14ac:dyDescent="0.25">
      <c r="D662" s="10"/>
      <c r="E662" s="10"/>
      <c r="F662" s="10"/>
      <c r="G662" s="10"/>
      <c r="H662" s="10"/>
      <c r="J662" s="10"/>
      <c r="K662" s="10"/>
    </row>
    <row r="663" spans="4:11" x14ac:dyDescent="0.25">
      <c r="D663" s="10"/>
      <c r="E663" s="10"/>
      <c r="F663" s="10"/>
      <c r="G663" s="10"/>
      <c r="H663" s="10"/>
      <c r="J663" s="10"/>
      <c r="K663" s="10"/>
    </row>
    <row r="664" spans="4:11" x14ac:dyDescent="0.25">
      <c r="D664" s="10"/>
      <c r="E664" s="10"/>
      <c r="F664" s="10"/>
      <c r="G664" s="10"/>
      <c r="H664" s="10"/>
      <c r="J664" s="10"/>
      <c r="K664" s="10"/>
    </row>
    <row r="665" spans="4:11" x14ac:dyDescent="0.25">
      <c r="D665" s="10"/>
      <c r="E665" s="10"/>
      <c r="F665" s="10"/>
      <c r="G665" s="10"/>
      <c r="H665" s="10"/>
      <c r="J665" s="10"/>
      <c r="K665" s="10"/>
    </row>
    <row r="666" spans="4:11" x14ac:dyDescent="0.25">
      <c r="D666" s="10"/>
      <c r="E666" s="10"/>
      <c r="F666" s="10"/>
      <c r="G666" s="10"/>
      <c r="H666" s="10"/>
      <c r="J666" s="10"/>
      <c r="K666" s="10"/>
    </row>
    <row r="667" spans="4:11" x14ac:dyDescent="0.25">
      <c r="D667" s="10"/>
      <c r="E667" s="10"/>
      <c r="F667" s="10"/>
      <c r="G667" s="10"/>
      <c r="H667" s="10"/>
      <c r="J667" s="10"/>
      <c r="K667" s="10"/>
    </row>
    <row r="668" spans="4:11" x14ac:dyDescent="0.25">
      <c r="D668" s="10"/>
      <c r="E668" s="10"/>
      <c r="F668" s="10"/>
      <c r="G668" s="10"/>
      <c r="H668" s="10"/>
      <c r="J668" s="10"/>
      <c r="K668" s="10"/>
    </row>
    <row r="669" spans="4:11" x14ac:dyDescent="0.25">
      <c r="D669" s="10"/>
      <c r="E669" s="10"/>
      <c r="F669" s="10"/>
      <c r="G669" s="10"/>
      <c r="H669" s="10"/>
      <c r="J669" s="10"/>
      <c r="K669" s="10"/>
    </row>
    <row r="670" spans="4:11" x14ac:dyDescent="0.25">
      <c r="D670" s="10"/>
      <c r="E670" s="10"/>
      <c r="F670" s="10"/>
      <c r="G670" s="10"/>
      <c r="H670" s="10"/>
      <c r="J670" s="10"/>
      <c r="K670" s="10"/>
    </row>
    <row r="671" spans="4:11" x14ac:dyDescent="0.25">
      <c r="D671" s="10"/>
      <c r="E671" s="10"/>
      <c r="F671" s="10"/>
      <c r="G671" s="10"/>
      <c r="H671" s="10"/>
      <c r="J671" s="10"/>
      <c r="K671" s="10"/>
    </row>
    <row r="672" spans="4:11" x14ac:dyDescent="0.25">
      <c r="D672" s="10"/>
      <c r="E672" s="10"/>
      <c r="F672" s="10"/>
      <c r="G672" s="10"/>
      <c r="H672" s="10"/>
      <c r="J672" s="10"/>
      <c r="K672" s="10"/>
    </row>
    <row r="673" spans="4:11" x14ac:dyDescent="0.25">
      <c r="D673" s="10"/>
      <c r="E673" s="10"/>
      <c r="F673" s="10"/>
      <c r="G673" s="10"/>
      <c r="H673" s="10"/>
      <c r="J673" s="10"/>
      <c r="K673" s="10"/>
    </row>
    <row r="674" spans="4:11" x14ac:dyDescent="0.25">
      <c r="D674" s="10"/>
      <c r="E674" s="10"/>
      <c r="F674" s="10"/>
      <c r="G674" s="10"/>
      <c r="H674" s="10"/>
      <c r="J674" s="10"/>
      <c r="K674" s="10"/>
    </row>
    <row r="675" spans="4:11" x14ac:dyDescent="0.25">
      <c r="D675" s="10"/>
      <c r="E675" s="10"/>
      <c r="F675" s="10"/>
      <c r="G675" s="10"/>
      <c r="H675" s="10"/>
      <c r="J675" s="10"/>
      <c r="K675" s="10"/>
    </row>
    <row r="676" spans="4:11" x14ac:dyDescent="0.25">
      <c r="D676" s="10"/>
      <c r="E676" s="10"/>
      <c r="F676" s="10"/>
      <c r="G676" s="10"/>
      <c r="H676" s="10"/>
      <c r="J676" s="10"/>
      <c r="K676" s="10"/>
    </row>
    <row r="677" spans="4:11" x14ac:dyDescent="0.25">
      <c r="D677" s="10"/>
      <c r="E677" s="10"/>
      <c r="F677" s="10"/>
      <c r="G677" s="10"/>
      <c r="H677" s="10"/>
      <c r="J677" s="10"/>
      <c r="K677" s="10"/>
    </row>
    <row r="678" spans="4:11" x14ac:dyDescent="0.25">
      <c r="D678" s="10"/>
      <c r="E678" s="10"/>
      <c r="F678" s="10"/>
      <c r="G678" s="10"/>
      <c r="H678" s="10"/>
      <c r="J678" s="10"/>
      <c r="K678" s="10"/>
    </row>
    <row r="679" spans="4:11" x14ac:dyDescent="0.25">
      <c r="D679" s="10"/>
      <c r="E679" s="10"/>
      <c r="F679" s="10"/>
      <c r="G679" s="10"/>
      <c r="H679" s="10"/>
      <c r="J679" s="10"/>
      <c r="K679" s="10"/>
    </row>
    <row r="680" spans="4:11" x14ac:dyDescent="0.25">
      <c r="D680" s="10"/>
      <c r="E680" s="10"/>
      <c r="F680" s="10"/>
      <c r="G680" s="10"/>
      <c r="H680" s="10"/>
      <c r="J680" s="10"/>
      <c r="K680" s="10"/>
    </row>
    <row r="681" spans="4:11" x14ac:dyDescent="0.25">
      <c r="D681" s="10"/>
      <c r="E681" s="10"/>
      <c r="F681" s="10"/>
      <c r="G681" s="10"/>
      <c r="H681" s="10"/>
      <c r="J681" s="10"/>
      <c r="K681" s="10"/>
    </row>
    <row r="682" spans="4:11" x14ac:dyDescent="0.25">
      <c r="D682" s="10"/>
      <c r="E682" s="10"/>
      <c r="F682" s="10"/>
      <c r="G682" s="10"/>
      <c r="H682" s="10"/>
      <c r="J682" s="10"/>
      <c r="K682" s="10"/>
    </row>
    <row r="683" spans="4:11" x14ac:dyDescent="0.25">
      <c r="D683" s="10"/>
      <c r="E683" s="10"/>
      <c r="F683" s="10"/>
      <c r="G683" s="10"/>
      <c r="H683" s="10"/>
      <c r="J683" s="10"/>
      <c r="K683" s="10"/>
    </row>
    <row r="684" spans="4:11" x14ac:dyDescent="0.25">
      <c r="D684" s="10"/>
      <c r="E684" s="10"/>
      <c r="F684" s="10"/>
      <c r="G684" s="10"/>
      <c r="H684" s="10"/>
      <c r="J684" s="10"/>
      <c r="K684" s="10"/>
    </row>
    <row r="685" spans="4:11" x14ac:dyDescent="0.25">
      <c r="D685" s="10"/>
      <c r="E685" s="10"/>
      <c r="F685" s="10"/>
      <c r="G685" s="10"/>
      <c r="H685" s="10"/>
      <c r="J685" s="10"/>
      <c r="K685" s="10"/>
    </row>
    <row r="686" spans="4:11" x14ac:dyDescent="0.25">
      <c r="D686" s="10"/>
      <c r="E686" s="10"/>
      <c r="F686" s="10"/>
      <c r="G686" s="10"/>
      <c r="H686" s="10"/>
      <c r="J686" s="10"/>
      <c r="K686" s="10"/>
    </row>
    <row r="687" spans="4:11" x14ac:dyDescent="0.25">
      <c r="D687" s="10"/>
      <c r="E687" s="10"/>
      <c r="F687" s="10"/>
      <c r="G687" s="10"/>
      <c r="H687" s="10"/>
      <c r="J687" s="10"/>
      <c r="K687" s="10"/>
    </row>
    <row r="688" spans="4:11" x14ac:dyDescent="0.25">
      <c r="D688" s="10"/>
      <c r="E688" s="10"/>
      <c r="F688" s="10"/>
      <c r="G688" s="10"/>
      <c r="H688" s="10"/>
      <c r="J688" s="10"/>
      <c r="K688" s="10"/>
    </row>
  </sheetData>
  <sheetProtection selectLockedCells="1" selectUnlockedCells="1"/>
  <mergeCells count="71">
    <mergeCell ref="D540:K540"/>
    <mergeCell ref="D65:K65"/>
    <mergeCell ref="A539:A540"/>
    <mergeCell ref="B539:C540"/>
    <mergeCell ref="B541:C541"/>
    <mergeCell ref="B531:C531"/>
    <mergeCell ref="B532:C532"/>
    <mergeCell ref="B533:C533"/>
    <mergeCell ref="B534:C534"/>
    <mergeCell ref="B535:C535"/>
    <mergeCell ref="B536:C536"/>
    <mergeCell ref="A525:A526"/>
    <mergeCell ref="B525:C526"/>
    <mergeCell ref="D526:H526"/>
    <mergeCell ref="B527:C527"/>
    <mergeCell ref="B529:C529"/>
    <mergeCell ref="B57:C57"/>
    <mergeCell ref="B59:C59"/>
    <mergeCell ref="B60:C60"/>
    <mergeCell ref="B61:C61"/>
    <mergeCell ref="A64:A65"/>
    <mergeCell ref="B64:B65"/>
    <mergeCell ref="C64:C65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29:C29"/>
    <mergeCell ref="B30:C30"/>
    <mergeCell ref="B31:C31"/>
    <mergeCell ref="B33:C33"/>
    <mergeCell ref="B34:C34"/>
    <mergeCell ref="B35:C35"/>
    <mergeCell ref="B37:C37"/>
    <mergeCell ref="B39:C39"/>
    <mergeCell ref="B40:C40"/>
    <mergeCell ref="B41:C41"/>
    <mergeCell ref="B43:C43"/>
    <mergeCell ref="B28:C2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15:K15"/>
    <mergeCell ref="A8:B8"/>
    <mergeCell ref="A9:B9"/>
    <mergeCell ref="A10:C11"/>
    <mergeCell ref="A12:C12"/>
    <mergeCell ref="A14:A15"/>
    <mergeCell ref="B14:C15"/>
    <mergeCell ref="A6:B6"/>
    <mergeCell ref="A1:B1"/>
    <mergeCell ref="A2:B2"/>
    <mergeCell ref="A3:B3"/>
    <mergeCell ref="A4:B4"/>
    <mergeCell ref="A5:B5"/>
  </mergeCells>
  <conditionalFormatting sqref="D18">
    <cfRule type="cellIs" dxfId="17" priority="5" stopIfTrue="1" operator="notEqual">
      <formula>$D$110</formula>
    </cfRule>
  </conditionalFormatting>
  <conditionalFormatting sqref="D296:H296 D68:K68 D110:K110">
    <cfRule type="cellIs" dxfId="16" priority="6" stopIfTrue="1" operator="notEqual">
      <formula>"$#ODWOŁANIE$#ODWOŁANIE"</formula>
    </cfRule>
  </conditionalFormatting>
  <conditionalFormatting sqref="D297">
    <cfRule type="cellIs" dxfId="15" priority="7" stopIfTrue="1" operator="notEqual">
      <formula>$D$296</formula>
    </cfRule>
  </conditionalFormatting>
  <conditionalFormatting sqref="E18:K18">
    <cfRule type="cellIs" dxfId="14" priority="8" stopIfTrue="1" operator="notEqual">
      <formula>$E$110</formula>
    </cfRule>
  </conditionalFormatting>
  <conditionalFormatting sqref="E297">
    <cfRule type="cellIs" dxfId="13" priority="9" stopIfTrue="1" operator="notEqual">
      <formula>$E$296</formula>
    </cfRule>
  </conditionalFormatting>
  <conditionalFormatting sqref="F297">
    <cfRule type="cellIs" dxfId="12" priority="11" stopIfTrue="1" operator="notEqual">
      <formula>$F$296</formula>
    </cfRule>
  </conditionalFormatting>
  <conditionalFormatting sqref="G297">
    <cfRule type="cellIs" dxfId="11" priority="14" stopIfTrue="1" operator="notEqual">
      <formula>$G$296</formula>
    </cfRule>
  </conditionalFormatting>
  <conditionalFormatting sqref="H297">
    <cfRule type="cellIs" dxfId="10" priority="17" stopIfTrue="1" operator="notEqual">
      <formula>$H$296</formula>
    </cfRule>
  </conditionalFormatting>
  <conditionalFormatting sqref="I91 I320">
    <cfRule type="cellIs" dxfId="9" priority="19" stopIfTrue="1" operator="notEqual">
      <formula>$L$1</formula>
    </cfRule>
  </conditionalFormatting>
  <conditionalFormatting sqref="I92 I321">
    <cfRule type="cellIs" dxfId="8" priority="20" stopIfTrue="1" operator="greaterThan">
      <formula>$M$1</formula>
    </cfRule>
  </conditionalFormatting>
  <conditionalFormatting sqref="I297">
    <cfRule type="cellIs" dxfId="7" priority="21" stopIfTrue="1" operator="notEqual">
      <formula>"$#ODWOŁANIE$#ODWOŁANIE"</formula>
    </cfRule>
  </conditionalFormatting>
  <conditionalFormatting sqref="J296:K296">
    <cfRule type="cellIs" dxfId="6" priority="2" stopIfTrue="1" operator="notEqual">
      <formula>"$#ODWOŁANIE$#ODWOŁANIE"</formula>
    </cfRule>
  </conditionalFormatting>
  <conditionalFormatting sqref="K297">
    <cfRule type="cellIs" dxfId="5" priority="4" stopIfTrue="1" operator="notEqual">
      <formula>$E$296</formula>
    </cfRule>
  </conditionalFormatting>
  <printOptions horizontalCentered="1" gridLines="1"/>
  <pageMargins left="0.19685039370078741" right="0.19685039370078741" top="0.23622047244094491" bottom="0.19685039370078741" header="0.51181102362204722" footer="0"/>
  <pageSetup paperSize="9" scale="49" firstPageNumber="0" fitToHeight="4" orientation="portrait" horizontalDpi="300" verticalDpi="300" r:id="rId1"/>
  <headerFooter alignWithMargins="0">
    <oddFooter>&amp;RStrona &amp;P</oddFooter>
  </headerFooter>
  <rowBreaks count="2" manualBreakCount="2">
    <brk id="86" max="10" man="1"/>
    <brk id="17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CJ620"/>
  <sheetViews>
    <sheetView tabSelected="1" view="pageBreakPreview" zoomScale="70" zoomScaleNormal="75" zoomScaleSheetLayoutView="70" workbookViewId="0">
      <selection activeCell="B618" sqref="B618"/>
    </sheetView>
  </sheetViews>
  <sheetFormatPr defaultRowHeight="15.75" x14ac:dyDescent="0.25"/>
  <cols>
    <col min="1" max="1" width="8" style="445" customWidth="1"/>
    <col min="2" max="2" width="100" style="446" customWidth="1"/>
    <col min="3" max="3" width="17.25" style="447" hidden="1" customWidth="1"/>
    <col min="4" max="4" width="38.25" style="448" hidden="1" customWidth="1"/>
    <col min="5" max="5" width="23" style="448" customWidth="1"/>
    <col min="6" max="6" width="14.625" style="448" hidden="1" customWidth="1"/>
    <col min="7" max="7" width="15.625" style="448" hidden="1" customWidth="1"/>
    <col min="8" max="8" width="14.625" style="448" hidden="1" customWidth="1"/>
    <col min="9" max="9" width="18" style="448" hidden="1" customWidth="1"/>
    <col min="10" max="10" width="16.75" style="448" hidden="1" customWidth="1"/>
    <col min="11" max="11" width="10" style="450" hidden="1" customWidth="1"/>
    <col min="12" max="15" width="9.375" style="450" hidden="1" customWidth="1"/>
    <col min="16" max="36" width="9" style="450"/>
    <col min="37" max="38" width="9" style="451"/>
    <col min="39" max="16384" width="9" style="448"/>
  </cols>
  <sheetData>
    <row r="1" spans="1:38" s="453" customFormat="1" ht="24.95" customHeight="1" x14ac:dyDescent="0.3">
      <c r="A1" s="1105" t="s">
        <v>0</v>
      </c>
      <c r="B1" s="1105"/>
      <c r="C1" s="452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5"/>
      <c r="AL1" s="455"/>
    </row>
    <row r="2" spans="1:38" x14ac:dyDescent="0.25">
      <c r="A2" s="1106" t="s">
        <v>1</v>
      </c>
      <c r="B2" s="1106"/>
      <c r="I2" s="1104" t="s">
        <v>687</v>
      </c>
      <c r="J2" s="1104"/>
    </row>
    <row r="3" spans="1:38" s="453" customFormat="1" ht="24.95" customHeight="1" x14ac:dyDescent="0.3">
      <c r="A3" s="1105" t="s">
        <v>2</v>
      </c>
      <c r="B3" s="1105"/>
      <c r="C3" s="452"/>
      <c r="G3" s="1107"/>
      <c r="H3" s="1107"/>
      <c r="I3" s="1104"/>
      <c r="J3" s="110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5"/>
      <c r="AL3" s="455"/>
    </row>
    <row r="4" spans="1:38" ht="15.75" customHeight="1" x14ac:dyDescent="0.25">
      <c r="A4" s="1106" t="s">
        <v>1</v>
      </c>
      <c r="B4" s="1106"/>
      <c r="G4" s="1107"/>
      <c r="H4" s="1107"/>
      <c r="I4" s="1104"/>
      <c r="J4" s="1104"/>
    </row>
    <row r="5" spans="1:38" s="453" customFormat="1" ht="24.95" customHeight="1" x14ac:dyDescent="0.3">
      <c r="A5" s="1105" t="s">
        <v>3</v>
      </c>
      <c r="B5" s="1105"/>
      <c r="C5" s="452"/>
      <c r="G5" s="1107"/>
      <c r="H5" s="1107"/>
      <c r="I5" s="1104"/>
      <c r="J5" s="110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5"/>
      <c r="AL5" s="455"/>
    </row>
    <row r="6" spans="1:38" ht="38.25" customHeight="1" x14ac:dyDescent="0.3">
      <c r="A6" s="1106" t="s">
        <v>1</v>
      </c>
      <c r="B6" s="1106"/>
      <c r="C6" s="456"/>
      <c r="D6" s="456"/>
      <c r="E6" s="456"/>
      <c r="F6" s="456"/>
      <c r="G6" s="1107"/>
      <c r="H6" s="1107"/>
      <c r="I6" s="1066"/>
      <c r="J6" s="1066"/>
    </row>
    <row r="7" spans="1:38" ht="36.75" customHeight="1" x14ac:dyDescent="0.3">
      <c r="A7" s="457"/>
      <c r="B7" s="457"/>
      <c r="C7" s="453"/>
      <c r="D7" s="453"/>
      <c r="E7" s="453"/>
      <c r="F7" s="453"/>
      <c r="G7" s="453" t="s">
        <v>360</v>
      </c>
      <c r="H7" s="453"/>
      <c r="I7" s="1067"/>
      <c r="J7" s="1074" t="s">
        <v>686</v>
      </c>
    </row>
    <row r="8" spans="1:38" s="453" customFormat="1" ht="24.95" customHeight="1" x14ac:dyDescent="0.3">
      <c r="A8" s="1105" t="s">
        <v>4</v>
      </c>
      <c r="B8" s="1105"/>
      <c r="C8" s="458"/>
      <c r="D8" s="458"/>
      <c r="E8" s="458"/>
      <c r="F8" s="458"/>
      <c r="G8" s="458" t="s">
        <v>361</v>
      </c>
      <c r="H8" s="458"/>
      <c r="I8" s="458"/>
      <c r="J8" s="458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5"/>
      <c r="AL8" s="455"/>
    </row>
    <row r="9" spans="1:38" x14ac:dyDescent="0.25">
      <c r="A9" s="1106"/>
      <c r="B9" s="1106"/>
    </row>
    <row r="10" spans="1:38" x14ac:dyDescent="0.25">
      <c r="A10" s="459"/>
      <c r="B10" s="460"/>
    </row>
    <row r="11" spans="1:38" s="453" customFormat="1" ht="18.75" x14ac:dyDescent="0.3">
      <c r="A11" s="1108"/>
      <c r="B11" s="1108"/>
      <c r="C11" s="1108"/>
      <c r="D11" s="1108"/>
      <c r="E11" s="1108"/>
      <c r="F11" s="1108"/>
      <c r="G11" s="1108"/>
      <c r="H11" s="1108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5"/>
      <c r="AL11" s="455"/>
    </row>
    <row r="12" spans="1:38" s="453" customFormat="1" ht="18.75" x14ac:dyDescent="0.3">
      <c r="A12" s="1108" t="s">
        <v>673</v>
      </c>
      <c r="B12" s="1108"/>
      <c r="C12" s="1108"/>
      <c r="D12" s="1108"/>
      <c r="E12" s="1108"/>
      <c r="F12" s="1108"/>
      <c r="G12" s="1108"/>
      <c r="H12" s="1108"/>
      <c r="I12" s="1108"/>
      <c r="J12" s="1108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5"/>
      <c r="AL12" s="455"/>
    </row>
    <row r="13" spans="1:38" s="453" customFormat="1" ht="19.5" thickBot="1" x14ac:dyDescent="0.35">
      <c r="A13" s="461" t="s">
        <v>6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5"/>
      <c r="AL13" s="455"/>
    </row>
    <row r="14" spans="1:38" s="466" customFormat="1" ht="128.25" customHeight="1" thickBot="1" x14ac:dyDescent="0.3">
      <c r="A14" s="1109" t="s">
        <v>7</v>
      </c>
      <c r="B14" s="1110" t="s">
        <v>8</v>
      </c>
      <c r="C14" s="1110"/>
      <c r="D14" s="463" t="str">
        <f>'Pl 2014-17 PFC'!D64</f>
        <v>Przewidywane 
wykonanie 
w 2013 r.</v>
      </c>
      <c r="E14" s="1075" t="s">
        <v>692</v>
      </c>
      <c r="F14" s="463" t="str">
        <f>'Pl 2014-17 PFC'!F64</f>
        <v>Projekt planu 
na 2015 r.</v>
      </c>
      <c r="G14" s="463" t="str">
        <f>'Pl 2014-17 PFC'!G64</f>
        <v>Projekt planu 
na 2016 r.</v>
      </c>
      <c r="H14" s="463" t="str">
        <f>'Pl 2014-17 PFC'!H64</f>
        <v>Projekt planu 
na 2017 r.</v>
      </c>
      <c r="I14" s="463" t="str">
        <f>'Pl 2014-17 PFC'!J14</f>
        <v>Wniosek o przeniesienie</v>
      </c>
      <c r="J14" s="463" t="str">
        <f>'Pl 2014-17 PFC'!K14</f>
        <v>Plan po zmianach</v>
      </c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5"/>
      <c r="AL14" s="465"/>
    </row>
    <row r="15" spans="1:38" s="466" customFormat="1" ht="16.5" customHeight="1" thickBot="1" x14ac:dyDescent="0.3">
      <c r="A15" s="1109"/>
      <c r="B15" s="1110"/>
      <c r="C15" s="1110"/>
      <c r="D15" s="995" t="str">
        <f>'Pl 2014-17 PFC'!D15:H15</f>
        <v>w tysiącach złotych</v>
      </c>
      <c r="E15" s="1111" t="str">
        <f>D67</f>
        <v>w tysiącach złotych</v>
      </c>
      <c r="F15" s="1112"/>
      <c r="G15" s="1112"/>
      <c r="H15" s="1112"/>
      <c r="I15" s="1112"/>
      <c r="J15" s="1113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5"/>
      <c r="AL15" s="465"/>
    </row>
    <row r="16" spans="1:38" s="474" customFormat="1" ht="13.5" thickBot="1" x14ac:dyDescent="0.25">
      <c r="A16" s="467">
        <v>1</v>
      </c>
      <c r="B16" s="468">
        <v>2</v>
      </c>
      <c r="C16" s="469"/>
      <c r="D16" s="470">
        <v>3</v>
      </c>
      <c r="E16" s="996">
        <v>3</v>
      </c>
      <c r="F16" s="471">
        <v>5</v>
      </c>
      <c r="G16" s="471">
        <v>6</v>
      </c>
      <c r="H16" s="470">
        <v>7</v>
      </c>
      <c r="I16" s="996">
        <v>4</v>
      </c>
      <c r="J16" s="996">
        <v>5</v>
      </c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3"/>
      <c r="AL16" s="473"/>
    </row>
    <row r="17" spans="1:38" s="474" customFormat="1" ht="9.9499999999999993" customHeight="1" x14ac:dyDescent="0.2">
      <c r="A17" s="475"/>
      <c r="B17" s="476"/>
      <c r="C17" s="477"/>
      <c r="D17" s="478"/>
      <c r="E17" s="997"/>
      <c r="F17" s="478"/>
      <c r="G17" s="478"/>
      <c r="H17" s="479"/>
      <c r="I17" s="997"/>
      <c r="J17" s="997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3"/>
      <c r="AL17" s="473"/>
    </row>
    <row r="18" spans="1:38" s="483" customFormat="1" x14ac:dyDescent="0.25">
      <c r="A18" s="1046" t="s">
        <v>15</v>
      </c>
      <c r="B18" s="1118" t="s">
        <v>16</v>
      </c>
      <c r="C18" s="1118"/>
      <c r="D18" s="480" t="e">
        <f t="shared" ref="D18:J18" si="0">SUM(D19:D20)</f>
        <v>#REF!</v>
      </c>
      <c r="E18" s="519">
        <f t="shared" si="0"/>
        <v>4993040</v>
      </c>
      <c r="F18" s="519">
        <f t="shared" si="0"/>
        <v>4966014</v>
      </c>
      <c r="G18" s="519">
        <f t="shared" si="0"/>
        <v>5062735</v>
      </c>
      <c r="H18" s="519">
        <f t="shared" si="0"/>
        <v>5206064</v>
      </c>
      <c r="I18" s="519">
        <f t="shared" si="0"/>
        <v>0</v>
      </c>
      <c r="J18" s="519">
        <f t="shared" si="0"/>
        <v>4993040</v>
      </c>
      <c r="K18" s="482" t="e">
        <f>D353+D56+D54</f>
        <v>#REF!</v>
      </c>
      <c r="L18" s="482">
        <f>E353+E56+E54</f>
        <v>4993040</v>
      </c>
      <c r="M18" s="482">
        <f>F353+F56+F54</f>
        <v>4967773</v>
      </c>
      <c r="N18" s="482">
        <f>G353+G56+G54</f>
        <v>5066303</v>
      </c>
      <c r="O18" s="482">
        <f>H353+H56+H54</f>
        <v>5211490</v>
      </c>
      <c r="P18" s="482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</row>
    <row r="19" spans="1:38" s="483" customFormat="1" hidden="1" x14ac:dyDescent="0.25">
      <c r="A19" s="1047" t="s">
        <v>19</v>
      </c>
      <c r="B19" s="1119" t="s">
        <v>17</v>
      </c>
      <c r="C19" s="1119"/>
      <c r="D19" s="484" t="e">
        <f t="shared" ref="D19:J19" si="1">SUM(D23,D26,D27,D28,D30,D32,D34,D36,D39,D41,D43,D45:D46,D57,D59,D61)</f>
        <v>#REF!</v>
      </c>
      <c r="E19" s="484">
        <f t="shared" si="1"/>
        <v>4823567</v>
      </c>
      <c r="F19" s="484">
        <f t="shared" si="1"/>
        <v>4771551</v>
      </c>
      <c r="G19" s="484">
        <f t="shared" si="1"/>
        <v>4879678</v>
      </c>
      <c r="H19" s="484">
        <f t="shared" si="1"/>
        <v>5024964</v>
      </c>
      <c r="I19" s="484">
        <f t="shared" si="1"/>
        <v>0</v>
      </c>
      <c r="J19" s="484">
        <f t="shared" si="1"/>
        <v>4823567</v>
      </c>
      <c r="K19" s="482" t="e">
        <f>D18-K18</f>
        <v>#REF!</v>
      </c>
      <c r="L19" s="482">
        <f>E18-L18</f>
        <v>0</v>
      </c>
      <c r="M19" s="482">
        <f>F18-M18</f>
        <v>-1759</v>
      </c>
      <c r="N19" s="482">
        <f>G18-N18</f>
        <v>-3568</v>
      </c>
      <c r="O19" s="482">
        <f>H18-O18</f>
        <v>-5426</v>
      </c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</row>
    <row r="20" spans="1:38" s="483" customFormat="1" hidden="1" x14ac:dyDescent="0.25">
      <c r="A20" s="1048" t="s">
        <v>23</v>
      </c>
      <c r="B20" s="1120" t="s">
        <v>18</v>
      </c>
      <c r="C20" s="1120"/>
      <c r="D20" s="485">
        <f t="shared" ref="D20:J20" si="2">SUM(D24,D31,D35,D58,D44,D40)</f>
        <v>130878</v>
      </c>
      <c r="E20" s="485">
        <f t="shared" si="2"/>
        <v>169473</v>
      </c>
      <c r="F20" s="485">
        <f t="shared" si="2"/>
        <v>194463</v>
      </c>
      <c r="G20" s="485">
        <f t="shared" si="2"/>
        <v>183057</v>
      </c>
      <c r="H20" s="485">
        <f t="shared" si="2"/>
        <v>181100</v>
      </c>
      <c r="I20" s="485">
        <f t="shared" si="2"/>
        <v>0</v>
      </c>
      <c r="J20" s="485">
        <f t="shared" si="2"/>
        <v>169473</v>
      </c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</row>
    <row r="21" spans="1:38" s="491" customFormat="1" ht="12.75" customHeight="1" x14ac:dyDescent="0.25">
      <c r="A21" s="1049"/>
      <c r="B21" s="1121"/>
      <c r="C21" s="1121"/>
      <c r="D21" s="487"/>
      <c r="E21" s="487"/>
      <c r="F21" s="487"/>
      <c r="G21" s="487"/>
      <c r="H21" s="487"/>
      <c r="I21" s="487"/>
      <c r="J21" s="487"/>
      <c r="K21" s="489" t="e">
        <f>D18-K18</f>
        <v>#REF!</v>
      </c>
      <c r="L21" s="489">
        <f>E18-L18</f>
        <v>0</v>
      </c>
      <c r="M21" s="489">
        <f>F18-M18</f>
        <v>-1759</v>
      </c>
      <c r="N21" s="489">
        <f>G18-N18</f>
        <v>-3568</v>
      </c>
      <c r="O21" s="489">
        <f>H18-O18</f>
        <v>-5426</v>
      </c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90"/>
      <c r="AL21" s="490"/>
    </row>
    <row r="22" spans="1:38" s="491" customFormat="1" ht="50.25" customHeight="1" x14ac:dyDescent="0.25">
      <c r="A22" s="1050" t="s">
        <v>347</v>
      </c>
      <c r="B22" s="501" t="s">
        <v>671</v>
      </c>
      <c r="C22" s="493"/>
      <c r="D22" s="494">
        <f t="shared" ref="D22:J22" si="3">SUM(D23:D24)</f>
        <v>47133</v>
      </c>
      <c r="E22" s="1060">
        <f t="shared" si="3"/>
        <v>60000</v>
      </c>
      <c r="F22" s="494">
        <f t="shared" si="3"/>
        <v>78000</v>
      </c>
      <c r="G22" s="494">
        <f t="shared" si="3"/>
        <v>78000</v>
      </c>
      <c r="H22" s="494">
        <f t="shared" si="3"/>
        <v>78000</v>
      </c>
      <c r="I22" s="1060">
        <f t="shared" si="3"/>
        <v>0</v>
      </c>
      <c r="J22" s="1060">
        <f t="shared" si="3"/>
        <v>60000</v>
      </c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90"/>
      <c r="AL22" s="490"/>
    </row>
    <row r="23" spans="1:38" s="491" customFormat="1" hidden="1" x14ac:dyDescent="0.25">
      <c r="A23" s="1049" t="s">
        <v>21</v>
      </c>
      <c r="B23" s="492" t="s">
        <v>17</v>
      </c>
      <c r="C23" s="493"/>
      <c r="D23" s="495">
        <f t="shared" ref="D23:J23" si="4">D117+D150</f>
        <v>1800</v>
      </c>
      <c r="E23" s="496">
        <f t="shared" si="4"/>
        <v>1500</v>
      </c>
      <c r="F23" s="496">
        <f t="shared" si="4"/>
        <v>6900</v>
      </c>
      <c r="G23" s="496">
        <f t="shared" si="4"/>
        <v>6900</v>
      </c>
      <c r="H23" s="496">
        <f t="shared" si="4"/>
        <v>6900</v>
      </c>
      <c r="I23" s="496">
        <f t="shared" si="4"/>
        <v>0</v>
      </c>
      <c r="J23" s="496">
        <f t="shared" si="4"/>
        <v>1500</v>
      </c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90"/>
      <c r="AL23" s="490"/>
    </row>
    <row r="24" spans="1:38" s="491" customFormat="1" hidden="1" x14ac:dyDescent="0.25">
      <c r="A24" s="1049" t="s">
        <v>22</v>
      </c>
      <c r="B24" s="492" t="s">
        <v>18</v>
      </c>
      <c r="C24" s="493"/>
      <c r="D24" s="495">
        <f t="shared" ref="D24:J24" si="5">SUM(D260+D277)</f>
        <v>45333</v>
      </c>
      <c r="E24" s="496">
        <f t="shared" si="5"/>
        <v>58500</v>
      </c>
      <c r="F24" s="496">
        <f t="shared" si="5"/>
        <v>71100</v>
      </c>
      <c r="G24" s="496">
        <f t="shared" si="5"/>
        <v>71100</v>
      </c>
      <c r="H24" s="496">
        <f t="shared" si="5"/>
        <v>71100</v>
      </c>
      <c r="I24" s="496">
        <f t="shared" si="5"/>
        <v>0</v>
      </c>
      <c r="J24" s="496">
        <f t="shared" si="5"/>
        <v>58500</v>
      </c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90"/>
      <c r="AL24" s="490"/>
    </row>
    <row r="25" spans="1:38" s="491" customFormat="1" x14ac:dyDescent="0.25">
      <c r="A25" s="1049" t="s">
        <v>674</v>
      </c>
      <c r="B25" s="492" t="s">
        <v>362</v>
      </c>
      <c r="C25" s="493"/>
      <c r="D25" s="495">
        <f t="shared" ref="D25:J25" si="6">SUM(D26:D26)</f>
        <v>72346</v>
      </c>
      <c r="E25" s="496">
        <f t="shared" si="6"/>
        <v>71753</v>
      </c>
      <c r="F25" s="496">
        <f t="shared" si="6"/>
        <v>5187</v>
      </c>
      <c r="G25" s="496">
        <f t="shared" si="6"/>
        <v>0</v>
      </c>
      <c r="H25" s="496">
        <f t="shared" si="6"/>
        <v>0</v>
      </c>
      <c r="I25" s="496">
        <f t="shared" si="6"/>
        <v>0</v>
      </c>
      <c r="J25" s="496">
        <f t="shared" si="6"/>
        <v>71753</v>
      </c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90"/>
      <c r="AL25" s="490"/>
    </row>
    <row r="26" spans="1:38" s="491" customFormat="1" hidden="1" x14ac:dyDescent="0.25">
      <c r="A26" s="1049"/>
      <c r="B26" s="492" t="s">
        <v>17</v>
      </c>
      <c r="C26" s="493"/>
      <c r="D26" s="495">
        <f t="shared" ref="D26:J26" si="7">SUM(D116,D149,D193,D194)</f>
        <v>72346</v>
      </c>
      <c r="E26" s="496">
        <f t="shared" si="7"/>
        <v>71753</v>
      </c>
      <c r="F26" s="496">
        <f t="shared" si="7"/>
        <v>5187</v>
      </c>
      <c r="G26" s="496">
        <f t="shared" si="7"/>
        <v>0</v>
      </c>
      <c r="H26" s="496">
        <f t="shared" si="7"/>
        <v>0</v>
      </c>
      <c r="I26" s="496">
        <f t="shared" si="7"/>
        <v>0</v>
      </c>
      <c r="J26" s="496">
        <f t="shared" si="7"/>
        <v>71753</v>
      </c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90"/>
      <c r="AL26" s="490"/>
    </row>
    <row r="27" spans="1:38" s="491" customFormat="1" x14ac:dyDescent="0.25">
      <c r="A27" s="1049" t="s">
        <v>666</v>
      </c>
      <c r="B27" s="492" t="s">
        <v>28</v>
      </c>
      <c r="C27" s="493"/>
      <c r="D27" s="495">
        <f t="shared" ref="D27:J27" si="8">SUM(D153)</f>
        <v>3156132</v>
      </c>
      <c r="E27" s="496">
        <f t="shared" si="8"/>
        <v>3115684</v>
      </c>
      <c r="F27" s="496">
        <f t="shared" si="8"/>
        <v>2930000</v>
      </c>
      <c r="G27" s="496">
        <f t="shared" si="8"/>
        <v>2960000</v>
      </c>
      <c r="H27" s="496">
        <f t="shared" si="8"/>
        <v>2990000</v>
      </c>
      <c r="I27" s="496">
        <f t="shared" si="8"/>
        <v>0</v>
      </c>
      <c r="J27" s="496">
        <f t="shared" si="8"/>
        <v>3115684</v>
      </c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90"/>
      <c r="AL27" s="490"/>
    </row>
    <row r="28" spans="1:38" s="491" customFormat="1" ht="66" customHeight="1" x14ac:dyDescent="0.25">
      <c r="A28" s="1050" t="s">
        <v>663</v>
      </c>
      <c r="B28" s="498" t="s">
        <v>363</v>
      </c>
      <c r="C28" s="493"/>
      <c r="D28" s="499">
        <f t="shared" ref="D28:J28" si="9">SUM(D118)</f>
        <v>50000</v>
      </c>
      <c r="E28" s="500">
        <f t="shared" si="9"/>
        <v>55000</v>
      </c>
      <c r="F28" s="500">
        <f t="shared" si="9"/>
        <v>55000</v>
      </c>
      <c r="G28" s="500">
        <f t="shared" si="9"/>
        <v>55000</v>
      </c>
      <c r="H28" s="500">
        <f t="shared" si="9"/>
        <v>55000</v>
      </c>
      <c r="I28" s="500">
        <f t="shared" si="9"/>
        <v>0</v>
      </c>
      <c r="J28" s="500">
        <f t="shared" si="9"/>
        <v>55000</v>
      </c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90"/>
      <c r="AL28" s="490"/>
    </row>
    <row r="29" spans="1:38" s="491" customFormat="1" x14ac:dyDescent="0.25">
      <c r="A29" s="1049" t="s">
        <v>667</v>
      </c>
      <c r="B29" s="492" t="s">
        <v>32</v>
      </c>
      <c r="C29" s="493"/>
      <c r="D29" s="495">
        <f t="shared" ref="D29:J29" si="10">SUM(D30:D31)</f>
        <v>3600</v>
      </c>
      <c r="E29" s="496">
        <f t="shared" si="10"/>
        <v>5200</v>
      </c>
      <c r="F29" s="496">
        <f t="shared" si="10"/>
        <v>5100</v>
      </c>
      <c r="G29" s="496">
        <f t="shared" si="10"/>
        <v>5100</v>
      </c>
      <c r="H29" s="496">
        <f t="shared" si="10"/>
        <v>5100</v>
      </c>
      <c r="I29" s="496">
        <f t="shared" si="10"/>
        <v>0</v>
      </c>
      <c r="J29" s="496">
        <f t="shared" si="10"/>
        <v>5200</v>
      </c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90"/>
      <c r="AL29" s="490"/>
    </row>
    <row r="30" spans="1:38" s="491" customFormat="1" hidden="1" x14ac:dyDescent="0.25">
      <c r="A30" s="1049" t="s">
        <v>33</v>
      </c>
      <c r="B30" s="492" t="s">
        <v>17</v>
      </c>
      <c r="C30" s="493"/>
      <c r="D30" s="495">
        <f t="shared" ref="D30:J30" si="11">SUM(D119,D154)</f>
        <v>3516</v>
      </c>
      <c r="E30" s="496">
        <f t="shared" si="11"/>
        <v>5000</v>
      </c>
      <c r="F30" s="496">
        <f t="shared" si="11"/>
        <v>5000</v>
      </c>
      <c r="G30" s="496">
        <f t="shared" si="11"/>
        <v>5000</v>
      </c>
      <c r="H30" s="496">
        <f t="shared" si="11"/>
        <v>5000</v>
      </c>
      <c r="I30" s="496">
        <f t="shared" si="11"/>
        <v>0</v>
      </c>
      <c r="J30" s="496">
        <f t="shared" si="11"/>
        <v>5000</v>
      </c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90"/>
      <c r="AL30" s="490"/>
    </row>
    <row r="31" spans="1:38" s="491" customFormat="1" hidden="1" x14ac:dyDescent="0.25">
      <c r="A31" s="1049" t="s">
        <v>34</v>
      </c>
      <c r="B31" s="492" t="s">
        <v>18</v>
      </c>
      <c r="C31" s="493"/>
      <c r="D31" s="495">
        <f t="shared" ref="D31:J31" si="12">SUM(D261,D278)</f>
        <v>84</v>
      </c>
      <c r="E31" s="496">
        <f t="shared" si="12"/>
        <v>200</v>
      </c>
      <c r="F31" s="496">
        <f t="shared" si="12"/>
        <v>100</v>
      </c>
      <c r="G31" s="496">
        <f t="shared" si="12"/>
        <v>100</v>
      </c>
      <c r="H31" s="496">
        <f t="shared" si="12"/>
        <v>100</v>
      </c>
      <c r="I31" s="496">
        <f t="shared" si="12"/>
        <v>0</v>
      </c>
      <c r="J31" s="496">
        <f t="shared" si="12"/>
        <v>200</v>
      </c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90"/>
      <c r="AL31" s="490"/>
    </row>
    <row r="32" spans="1:38" s="491" customFormat="1" x14ac:dyDescent="0.25">
      <c r="A32" s="1049" t="s">
        <v>675</v>
      </c>
      <c r="B32" s="492" t="s">
        <v>36</v>
      </c>
      <c r="C32" s="493"/>
      <c r="D32" s="495">
        <f t="shared" ref="D32:J32" si="13">D156</f>
        <v>10</v>
      </c>
      <c r="E32" s="496">
        <f t="shared" si="13"/>
        <v>10</v>
      </c>
      <c r="F32" s="496">
        <f t="shared" si="13"/>
        <v>10</v>
      </c>
      <c r="G32" s="496">
        <f t="shared" si="13"/>
        <v>10</v>
      </c>
      <c r="H32" s="496">
        <f t="shared" si="13"/>
        <v>10</v>
      </c>
      <c r="I32" s="496">
        <f t="shared" si="13"/>
        <v>0</v>
      </c>
      <c r="J32" s="496">
        <f t="shared" si="13"/>
        <v>10</v>
      </c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90"/>
      <c r="AL32" s="490"/>
    </row>
    <row r="33" spans="1:38" s="491" customFormat="1" x14ac:dyDescent="0.25">
      <c r="A33" s="1049" t="s">
        <v>676</v>
      </c>
      <c r="B33" s="492" t="s">
        <v>38</v>
      </c>
      <c r="C33" s="493"/>
      <c r="D33" s="494">
        <f t="shared" ref="D33:J33" si="14">SUM(D34:D35)</f>
        <v>115485</v>
      </c>
      <c r="E33" s="496">
        <f t="shared" si="14"/>
        <v>141877</v>
      </c>
      <c r="F33" s="496">
        <f t="shared" si="14"/>
        <v>248377</v>
      </c>
      <c r="G33" s="496">
        <f t="shared" si="14"/>
        <v>256077</v>
      </c>
      <c r="H33" s="496">
        <f t="shared" si="14"/>
        <v>264547</v>
      </c>
      <c r="I33" s="496">
        <f t="shared" si="14"/>
        <v>0</v>
      </c>
      <c r="J33" s="496">
        <f t="shared" si="14"/>
        <v>141877</v>
      </c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90"/>
      <c r="AL33" s="490"/>
    </row>
    <row r="34" spans="1:38" s="491" customFormat="1" hidden="1" x14ac:dyDescent="0.25">
      <c r="A34" s="1049" t="s">
        <v>39</v>
      </c>
      <c r="B34" s="492" t="s">
        <v>17</v>
      </c>
      <c r="C34" s="493"/>
      <c r="D34" s="495">
        <f t="shared" ref="D34:J34" si="15">SUM(D121,D157,D175)</f>
        <v>73921</v>
      </c>
      <c r="E34" s="496">
        <f t="shared" si="15"/>
        <v>81877</v>
      </c>
      <c r="F34" s="496">
        <f t="shared" si="15"/>
        <v>177797</v>
      </c>
      <c r="G34" s="496">
        <f t="shared" si="15"/>
        <v>185497</v>
      </c>
      <c r="H34" s="496">
        <f t="shared" si="15"/>
        <v>193967</v>
      </c>
      <c r="I34" s="496">
        <f t="shared" si="15"/>
        <v>0</v>
      </c>
      <c r="J34" s="496">
        <f t="shared" si="15"/>
        <v>81877</v>
      </c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90"/>
      <c r="AL34" s="490"/>
    </row>
    <row r="35" spans="1:38" s="491" customFormat="1" hidden="1" x14ac:dyDescent="0.25">
      <c r="A35" s="1049" t="s">
        <v>40</v>
      </c>
      <c r="B35" s="492" t="s">
        <v>18</v>
      </c>
      <c r="C35" s="493"/>
      <c r="D35" s="495">
        <f t="shared" ref="D35:J35" si="16">SUM(D263,D281)</f>
        <v>41564</v>
      </c>
      <c r="E35" s="496">
        <f t="shared" si="16"/>
        <v>60000</v>
      </c>
      <c r="F35" s="496">
        <f t="shared" si="16"/>
        <v>70580</v>
      </c>
      <c r="G35" s="496">
        <f t="shared" si="16"/>
        <v>70580</v>
      </c>
      <c r="H35" s="496">
        <f t="shared" si="16"/>
        <v>70580</v>
      </c>
      <c r="I35" s="496">
        <f t="shared" si="16"/>
        <v>0</v>
      </c>
      <c r="J35" s="496">
        <f t="shared" si="16"/>
        <v>60000</v>
      </c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90"/>
      <c r="AL35" s="490"/>
    </row>
    <row r="36" spans="1:38" s="491" customFormat="1" x14ac:dyDescent="0.25">
      <c r="A36" s="1049" t="s">
        <v>377</v>
      </c>
      <c r="B36" s="492" t="s">
        <v>42</v>
      </c>
      <c r="C36" s="493"/>
      <c r="D36" s="495">
        <f t="shared" ref="D36:J36" si="17">SUM(D37)</f>
        <v>4200</v>
      </c>
      <c r="E36" s="496">
        <f t="shared" si="17"/>
        <v>5500</v>
      </c>
      <c r="F36" s="496">
        <f t="shared" si="17"/>
        <v>5500</v>
      </c>
      <c r="G36" s="496">
        <f t="shared" si="17"/>
        <v>5500</v>
      </c>
      <c r="H36" s="496">
        <f t="shared" si="17"/>
        <v>5500</v>
      </c>
      <c r="I36" s="496">
        <f t="shared" si="17"/>
        <v>0</v>
      </c>
      <c r="J36" s="496">
        <f t="shared" si="17"/>
        <v>5500</v>
      </c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90"/>
      <c r="AL36" s="490"/>
    </row>
    <row r="37" spans="1:38" s="491" customFormat="1" hidden="1" x14ac:dyDescent="0.25">
      <c r="A37" s="1049" t="s">
        <v>364</v>
      </c>
      <c r="B37" s="492" t="s">
        <v>17</v>
      </c>
      <c r="C37" s="493"/>
      <c r="D37" s="495">
        <f t="shared" ref="D37:J37" si="18">D151</f>
        <v>4200</v>
      </c>
      <c r="E37" s="496">
        <f t="shared" si="18"/>
        <v>5500</v>
      </c>
      <c r="F37" s="496">
        <f t="shared" si="18"/>
        <v>5500</v>
      </c>
      <c r="G37" s="496">
        <f t="shared" si="18"/>
        <v>5500</v>
      </c>
      <c r="H37" s="496">
        <f t="shared" si="18"/>
        <v>5500</v>
      </c>
      <c r="I37" s="496">
        <f t="shared" si="18"/>
        <v>0</v>
      </c>
      <c r="J37" s="496">
        <f t="shared" si="18"/>
        <v>5500</v>
      </c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90"/>
      <c r="AL37" s="490"/>
    </row>
    <row r="38" spans="1:38" s="491" customFormat="1" ht="31.5" x14ac:dyDescent="0.25">
      <c r="A38" s="1050" t="s">
        <v>677</v>
      </c>
      <c r="B38" s="501" t="s">
        <v>365</v>
      </c>
      <c r="C38" s="493"/>
      <c r="D38" s="499">
        <f t="shared" ref="D38:J38" si="19">SUM(D39:D40)</f>
        <v>7907</v>
      </c>
      <c r="E38" s="500">
        <f t="shared" si="19"/>
        <v>8000</v>
      </c>
      <c r="F38" s="500">
        <f t="shared" si="19"/>
        <v>18500</v>
      </c>
      <c r="G38" s="500">
        <f t="shared" si="19"/>
        <v>18500</v>
      </c>
      <c r="H38" s="500">
        <f t="shared" si="19"/>
        <v>18500</v>
      </c>
      <c r="I38" s="500">
        <f t="shared" si="19"/>
        <v>0</v>
      </c>
      <c r="J38" s="500">
        <f t="shared" si="19"/>
        <v>8000</v>
      </c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90"/>
      <c r="AL38" s="490"/>
    </row>
    <row r="39" spans="1:38" s="491" customFormat="1" hidden="1" x14ac:dyDescent="0.25">
      <c r="A39" s="1049" t="s">
        <v>46</v>
      </c>
      <c r="B39" s="492" t="s">
        <v>17</v>
      </c>
      <c r="C39" s="493"/>
      <c r="D39" s="495">
        <f t="shared" ref="D39:J39" si="20">D152</f>
        <v>6041</v>
      </c>
      <c r="E39" s="496">
        <f t="shared" si="20"/>
        <v>5500</v>
      </c>
      <c r="F39" s="496">
        <f t="shared" si="20"/>
        <v>13000</v>
      </c>
      <c r="G39" s="496">
        <f t="shared" si="20"/>
        <v>13000</v>
      </c>
      <c r="H39" s="496">
        <f t="shared" si="20"/>
        <v>13000</v>
      </c>
      <c r="I39" s="496">
        <f t="shared" si="20"/>
        <v>0</v>
      </c>
      <c r="J39" s="496">
        <f t="shared" si="20"/>
        <v>5500</v>
      </c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90"/>
      <c r="AL39" s="490"/>
    </row>
    <row r="40" spans="1:38" s="491" customFormat="1" hidden="1" x14ac:dyDescent="0.25">
      <c r="A40" s="1049" t="s">
        <v>47</v>
      </c>
      <c r="B40" s="492" t="s">
        <v>18</v>
      </c>
      <c r="C40" s="493"/>
      <c r="D40" s="495">
        <f t="shared" ref="D40:J40" si="21">D279</f>
        <v>1866</v>
      </c>
      <c r="E40" s="496">
        <f t="shared" si="21"/>
        <v>2500</v>
      </c>
      <c r="F40" s="496">
        <f t="shared" si="21"/>
        <v>5500</v>
      </c>
      <c r="G40" s="496">
        <f t="shared" si="21"/>
        <v>5500</v>
      </c>
      <c r="H40" s="496">
        <f t="shared" si="21"/>
        <v>5500</v>
      </c>
      <c r="I40" s="496">
        <f t="shared" si="21"/>
        <v>0</v>
      </c>
      <c r="J40" s="496">
        <f t="shared" si="21"/>
        <v>2500</v>
      </c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90"/>
      <c r="AL40" s="490"/>
    </row>
    <row r="41" spans="1:38" s="491" customFormat="1" x14ac:dyDescent="0.25">
      <c r="A41" s="1049" t="s">
        <v>678</v>
      </c>
      <c r="B41" s="492" t="s">
        <v>49</v>
      </c>
      <c r="C41" s="493"/>
      <c r="D41" s="495">
        <f t="shared" ref="D41:J41" si="22">SUM(D145)</f>
        <v>74676</v>
      </c>
      <c r="E41" s="496">
        <f t="shared" si="22"/>
        <v>84294</v>
      </c>
      <c r="F41" s="496">
        <f t="shared" si="22"/>
        <v>89318</v>
      </c>
      <c r="G41" s="496">
        <f t="shared" si="22"/>
        <v>94656</v>
      </c>
      <c r="H41" s="496">
        <f t="shared" si="22"/>
        <v>100331</v>
      </c>
      <c r="I41" s="496">
        <f t="shared" si="22"/>
        <v>0</v>
      </c>
      <c r="J41" s="496">
        <f t="shared" si="22"/>
        <v>84294</v>
      </c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90"/>
      <c r="AL41" s="490"/>
    </row>
    <row r="42" spans="1:38" s="491" customFormat="1" x14ac:dyDescent="0.25">
      <c r="A42" s="1049" t="s">
        <v>679</v>
      </c>
      <c r="B42" s="492" t="s">
        <v>51</v>
      </c>
      <c r="C42" s="493"/>
      <c r="D42" s="494">
        <f t="shared" ref="D42:J42" si="23">SUM(D43:D44)</f>
        <v>141100</v>
      </c>
      <c r="E42" s="496">
        <f t="shared" si="23"/>
        <v>194316</v>
      </c>
      <c r="F42" s="496">
        <f t="shared" si="23"/>
        <v>162000</v>
      </c>
      <c r="G42" s="496">
        <f t="shared" si="23"/>
        <v>162000</v>
      </c>
      <c r="H42" s="496">
        <f t="shared" si="23"/>
        <v>162000</v>
      </c>
      <c r="I42" s="496">
        <f t="shared" si="23"/>
        <v>0</v>
      </c>
      <c r="J42" s="496">
        <f t="shared" si="23"/>
        <v>194316</v>
      </c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90"/>
      <c r="AL42" s="490"/>
    </row>
    <row r="43" spans="1:38" s="491" customFormat="1" hidden="1" x14ac:dyDescent="0.25">
      <c r="A43" s="1049" t="s">
        <v>52</v>
      </c>
      <c r="B43" s="492" t="s">
        <v>17</v>
      </c>
      <c r="C43" s="493"/>
      <c r="D43" s="495">
        <f t="shared" ref="D43:J43" si="24">D120+D155</f>
        <v>140200</v>
      </c>
      <c r="E43" s="496">
        <f t="shared" si="24"/>
        <v>191616</v>
      </c>
      <c r="F43" s="496">
        <f t="shared" si="24"/>
        <v>160300</v>
      </c>
      <c r="G43" s="496">
        <f t="shared" si="24"/>
        <v>160300</v>
      </c>
      <c r="H43" s="496">
        <f t="shared" si="24"/>
        <v>160300</v>
      </c>
      <c r="I43" s="496">
        <f t="shared" si="24"/>
        <v>0</v>
      </c>
      <c r="J43" s="496">
        <f t="shared" si="24"/>
        <v>191616</v>
      </c>
      <c r="K43" s="489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90"/>
      <c r="AL43" s="490"/>
    </row>
    <row r="44" spans="1:38" s="491" customFormat="1" hidden="1" x14ac:dyDescent="0.25">
      <c r="A44" s="1049" t="s">
        <v>53</v>
      </c>
      <c r="B44" s="492" t="s">
        <v>18</v>
      </c>
      <c r="C44" s="493"/>
      <c r="D44" s="495">
        <f t="shared" ref="D44:J44" si="25">D280+D262</f>
        <v>900</v>
      </c>
      <c r="E44" s="496">
        <f t="shared" si="25"/>
        <v>2700</v>
      </c>
      <c r="F44" s="496">
        <f t="shared" si="25"/>
        <v>1700</v>
      </c>
      <c r="G44" s="496">
        <f t="shared" si="25"/>
        <v>1700</v>
      </c>
      <c r="H44" s="496">
        <f t="shared" si="25"/>
        <v>1700</v>
      </c>
      <c r="I44" s="496">
        <f t="shared" si="25"/>
        <v>0</v>
      </c>
      <c r="J44" s="496">
        <f t="shared" si="25"/>
        <v>2700</v>
      </c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90"/>
      <c r="AL44" s="490"/>
    </row>
    <row r="45" spans="1:38" s="491" customFormat="1" x14ac:dyDescent="0.25">
      <c r="A45" s="1049" t="s">
        <v>680</v>
      </c>
      <c r="B45" s="492" t="s">
        <v>55</v>
      </c>
      <c r="C45" s="493"/>
      <c r="D45" s="494">
        <f t="shared" ref="D45:J45" si="26">D293</f>
        <v>787474</v>
      </c>
      <c r="E45" s="496">
        <f t="shared" si="26"/>
        <v>880400</v>
      </c>
      <c r="F45" s="496">
        <f t="shared" si="26"/>
        <v>1020400</v>
      </c>
      <c r="G45" s="496">
        <f t="shared" si="26"/>
        <v>1100400</v>
      </c>
      <c r="H45" s="496">
        <f t="shared" si="26"/>
        <v>1200400</v>
      </c>
      <c r="I45" s="496">
        <f t="shared" si="26"/>
        <v>0</v>
      </c>
      <c r="J45" s="496">
        <f t="shared" si="26"/>
        <v>880400</v>
      </c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90"/>
      <c r="AL45" s="490"/>
    </row>
    <row r="46" spans="1:38" s="491" customFormat="1" x14ac:dyDescent="0.25">
      <c r="A46" s="1049" t="s">
        <v>681</v>
      </c>
      <c r="B46" s="492" t="s">
        <v>57</v>
      </c>
      <c r="C46" s="493"/>
      <c r="D46" s="494" t="e">
        <f t="shared" ref="D46:J46" si="27">SUM(D47:D51,D56,D53)</f>
        <v>#REF!</v>
      </c>
      <c r="E46" s="496">
        <f t="shared" si="27"/>
        <v>316989</v>
      </c>
      <c r="F46" s="496">
        <f t="shared" si="27"/>
        <v>296018</v>
      </c>
      <c r="G46" s="496">
        <f t="shared" si="27"/>
        <v>287720</v>
      </c>
      <c r="H46" s="496">
        <f t="shared" si="27"/>
        <v>288765</v>
      </c>
      <c r="I46" s="496">
        <f t="shared" si="27"/>
        <v>0</v>
      </c>
      <c r="J46" s="496">
        <f t="shared" si="27"/>
        <v>316989</v>
      </c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90"/>
      <c r="AL46" s="490"/>
    </row>
    <row r="47" spans="1:38" s="491" customFormat="1" x14ac:dyDescent="0.25">
      <c r="A47" s="1049" t="s">
        <v>58</v>
      </c>
      <c r="B47" s="502" t="s">
        <v>366</v>
      </c>
      <c r="C47" s="493"/>
      <c r="D47" s="494">
        <f t="shared" ref="D47:J47" si="28">SUM(D200)</f>
        <v>52282</v>
      </c>
      <c r="E47" s="496">
        <f t="shared" si="28"/>
        <v>52282</v>
      </c>
      <c r="F47" s="496">
        <f t="shared" si="28"/>
        <v>52283</v>
      </c>
      <c r="G47" s="496">
        <f t="shared" si="28"/>
        <v>52284</v>
      </c>
      <c r="H47" s="496">
        <f t="shared" si="28"/>
        <v>52285</v>
      </c>
      <c r="I47" s="496">
        <f t="shared" si="28"/>
        <v>0</v>
      </c>
      <c r="J47" s="496">
        <f t="shared" si="28"/>
        <v>52282</v>
      </c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90"/>
      <c r="AL47" s="490"/>
    </row>
    <row r="48" spans="1:38" s="491" customFormat="1" x14ac:dyDescent="0.25">
      <c r="A48" s="1049" t="s">
        <v>60</v>
      </c>
      <c r="B48" s="492" t="s">
        <v>65</v>
      </c>
      <c r="C48" s="493"/>
      <c r="D48" s="495">
        <f t="shared" ref="D48:J48" si="29">SUM(D206)</f>
        <v>1200</v>
      </c>
      <c r="E48" s="496">
        <f t="shared" si="29"/>
        <v>1200</v>
      </c>
      <c r="F48" s="496">
        <f t="shared" si="29"/>
        <v>1201</v>
      </c>
      <c r="G48" s="496">
        <f t="shared" si="29"/>
        <v>1202</v>
      </c>
      <c r="H48" s="496">
        <f t="shared" si="29"/>
        <v>1203</v>
      </c>
      <c r="I48" s="496">
        <f t="shared" si="29"/>
        <v>0</v>
      </c>
      <c r="J48" s="496">
        <f t="shared" si="29"/>
        <v>1200</v>
      </c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90"/>
      <c r="AL48" s="490"/>
    </row>
    <row r="49" spans="1:38" s="491" customFormat="1" x14ac:dyDescent="0.25">
      <c r="A49" s="1049" t="s">
        <v>62</v>
      </c>
      <c r="B49" s="492" t="s">
        <v>61</v>
      </c>
      <c r="C49" s="493"/>
      <c r="D49" s="494">
        <f t="shared" ref="D49:J49" si="30">SUM(D202)</f>
        <v>9444</v>
      </c>
      <c r="E49" s="496">
        <f t="shared" si="30"/>
        <v>9392</v>
      </c>
      <c r="F49" s="496">
        <f t="shared" si="30"/>
        <v>9393</v>
      </c>
      <c r="G49" s="496">
        <f t="shared" si="30"/>
        <v>9394</v>
      </c>
      <c r="H49" s="496">
        <f t="shared" si="30"/>
        <v>9395</v>
      </c>
      <c r="I49" s="496">
        <f t="shared" si="30"/>
        <v>0</v>
      </c>
      <c r="J49" s="496">
        <f t="shared" si="30"/>
        <v>9392</v>
      </c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90"/>
      <c r="AL49" s="490"/>
    </row>
    <row r="50" spans="1:38" s="491" customFormat="1" x14ac:dyDescent="0.25">
      <c r="A50" s="1049" t="s">
        <v>64</v>
      </c>
      <c r="B50" s="492" t="s">
        <v>63</v>
      </c>
      <c r="C50" s="493"/>
      <c r="D50" s="494">
        <f t="shared" ref="D50:J50" si="31">SUM(D204)</f>
        <v>1327</v>
      </c>
      <c r="E50" s="496">
        <f t="shared" si="31"/>
        <v>1311</v>
      </c>
      <c r="F50" s="496">
        <f t="shared" si="31"/>
        <v>1312</v>
      </c>
      <c r="G50" s="496">
        <f t="shared" si="31"/>
        <v>1313</v>
      </c>
      <c r="H50" s="496">
        <f t="shared" si="31"/>
        <v>1314</v>
      </c>
      <c r="I50" s="496">
        <f t="shared" si="31"/>
        <v>0</v>
      </c>
      <c r="J50" s="496">
        <f t="shared" si="31"/>
        <v>1311</v>
      </c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90"/>
      <c r="AL50" s="490"/>
    </row>
    <row r="51" spans="1:38" s="491" customFormat="1" x14ac:dyDescent="0.25">
      <c r="A51" s="1049" t="s">
        <v>66</v>
      </c>
      <c r="B51" s="502" t="s">
        <v>367</v>
      </c>
      <c r="C51" s="493"/>
      <c r="D51" s="494">
        <f t="shared" ref="D51:J51" si="32">D209</f>
        <v>45755</v>
      </c>
      <c r="E51" s="496">
        <f t="shared" si="32"/>
        <v>46846</v>
      </c>
      <c r="F51" s="496">
        <f t="shared" si="32"/>
        <v>48006</v>
      </c>
      <c r="G51" s="496">
        <f t="shared" si="32"/>
        <v>49091</v>
      </c>
      <c r="H51" s="496">
        <f t="shared" si="32"/>
        <v>50302</v>
      </c>
      <c r="I51" s="496">
        <f t="shared" si="32"/>
        <v>0</v>
      </c>
      <c r="J51" s="496">
        <f t="shared" si="32"/>
        <v>46846</v>
      </c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90"/>
      <c r="AL51" s="490"/>
    </row>
    <row r="52" spans="1:38" s="491" customFormat="1" x14ac:dyDescent="0.25">
      <c r="A52" s="1049" t="s">
        <v>68</v>
      </c>
      <c r="B52" s="502" t="s">
        <v>368</v>
      </c>
      <c r="C52" s="493"/>
      <c r="D52" s="495">
        <f t="shared" ref="D52:J52" si="33">D217</f>
        <v>1902</v>
      </c>
      <c r="E52" s="496">
        <f t="shared" si="33"/>
        <v>1947</v>
      </c>
      <c r="F52" s="496">
        <f t="shared" si="33"/>
        <v>1995</v>
      </c>
      <c r="G52" s="496">
        <f t="shared" si="33"/>
        <v>2040</v>
      </c>
      <c r="H52" s="496">
        <f t="shared" si="33"/>
        <v>2090</v>
      </c>
      <c r="I52" s="496" t="str">
        <f t="shared" si="33"/>
        <v>0</v>
      </c>
      <c r="J52" s="496">
        <f t="shared" si="33"/>
        <v>1947</v>
      </c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90"/>
      <c r="AL52" s="490"/>
    </row>
    <row r="53" spans="1:38" s="491" customFormat="1" x14ac:dyDescent="0.25">
      <c r="A53" s="1049" t="s">
        <v>72</v>
      </c>
      <c r="B53" s="502" t="s">
        <v>369</v>
      </c>
      <c r="C53" s="493"/>
      <c r="D53" s="495" t="e">
        <f t="shared" ref="D53:J53" si="34">SUM(D211)</f>
        <v>#REF!</v>
      </c>
      <c r="E53" s="496">
        <f t="shared" si="34"/>
        <v>30958</v>
      </c>
      <c r="F53" s="496">
        <f t="shared" si="34"/>
        <v>8823</v>
      </c>
      <c r="G53" s="496">
        <f t="shared" si="34"/>
        <v>9436</v>
      </c>
      <c r="H53" s="496">
        <f t="shared" si="34"/>
        <v>9266</v>
      </c>
      <c r="I53" s="496">
        <f t="shared" si="34"/>
        <v>0</v>
      </c>
      <c r="J53" s="496">
        <f t="shared" si="34"/>
        <v>30958</v>
      </c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90"/>
      <c r="AL53" s="490"/>
    </row>
    <row r="54" spans="1:38" s="491" customFormat="1" x14ac:dyDescent="0.25">
      <c r="A54" s="1049" t="s">
        <v>370</v>
      </c>
      <c r="B54" s="502" t="s">
        <v>371</v>
      </c>
      <c r="C54" s="493"/>
      <c r="D54" s="495" t="e">
        <f t="shared" ref="D54:J54" si="35">SUM(D240)</f>
        <v>#REF!</v>
      </c>
      <c r="E54" s="496">
        <f t="shared" si="35"/>
        <v>21088</v>
      </c>
      <c r="F54" s="496">
        <f t="shared" si="35"/>
        <v>0</v>
      </c>
      <c r="G54" s="496">
        <f t="shared" si="35"/>
        <v>0</v>
      </c>
      <c r="H54" s="496">
        <f t="shared" si="35"/>
        <v>0</v>
      </c>
      <c r="I54" s="496">
        <f t="shared" si="35"/>
        <v>0</v>
      </c>
      <c r="J54" s="496">
        <f t="shared" si="35"/>
        <v>21088</v>
      </c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90"/>
      <c r="AL54" s="490"/>
    </row>
    <row r="55" spans="1:38" s="491" customFormat="1" x14ac:dyDescent="0.25">
      <c r="A55" s="1049" t="s">
        <v>372</v>
      </c>
      <c r="B55" s="502" t="s">
        <v>373</v>
      </c>
      <c r="C55" s="493"/>
      <c r="D55" s="495">
        <f t="shared" ref="D55:J55" si="36">D248</f>
        <v>8259</v>
      </c>
      <c r="E55" s="496">
        <f t="shared" si="36"/>
        <v>9870</v>
      </c>
      <c r="F55" s="496">
        <f t="shared" si="36"/>
        <v>8823</v>
      </c>
      <c r="G55" s="496">
        <f t="shared" si="36"/>
        <v>9436</v>
      </c>
      <c r="H55" s="496">
        <f t="shared" si="36"/>
        <v>9266</v>
      </c>
      <c r="I55" s="496">
        <f t="shared" si="36"/>
        <v>0</v>
      </c>
      <c r="J55" s="496">
        <f t="shared" si="36"/>
        <v>9870</v>
      </c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90"/>
      <c r="AL55" s="490"/>
    </row>
    <row r="56" spans="1:38" s="491" customFormat="1" ht="36" customHeight="1" x14ac:dyDescent="0.25">
      <c r="A56" s="1050" t="s">
        <v>374</v>
      </c>
      <c r="B56" s="503" t="s">
        <v>375</v>
      </c>
      <c r="C56" s="493"/>
      <c r="D56" s="499">
        <f t="shared" ref="D56:J56" si="37">SUM(D249)</f>
        <v>195133</v>
      </c>
      <c r="E56" s="500">
        <f t="shared" si="37"/>
        <v>175000</v>
      </c>
      <c r="F56" s="500">
        <f t="shared" si="37"/>
        <v>175000</v>
      </c>
      <c r="G56" s="500">
        <f t="shared" si="37"/>
        <v>165000</v>
      </c>
      <c r="H56" s="500">
        <f t="shared" si="37"/>
        <v>165000</v>
      </c>
      <c r="I56" s="500">
        <f t="shared" si="37"/>
        <v>0</v>
      </c>
      <c r="J56" s="500">
        <f t="shared" si="37"/>
        <v>175000</v>
      </c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90"/>
      <c r="AL56" s="490"/>
    </row>
    <row r="57" spans="1:38" s="491" customFormat="1" x14ac:dyDescent="0.25">
      <c r="A57" s="1049" t="s">
        <v>682</v>
      </c>
      <c r="B57" s="492" t="s">
        <v>75</v>
      </c>
      <c r="C57" s="493"/>
      <c r="D57" s="495">
        <f t="shared" ref="D57:J57" si="38">SUM(D188)</f>
        <v>3576</v>
      </c>
      <c r="E57" s="496">
        <f t="shared" si="38"/>
        <v>3661</v>
      </c>
      <c r="F57" s="496">
        <f t="shared" si="38"/>
        <v>3752</v>
      </c>
      <c r="G57" s="496">
        <f t="shared" si="38"/>
        <v>3845</v>
      </c>
      <c r="H57" s="496">
        <f t="shared" si="38"/>
        <v>3941</v>
      </c>
      <c r="I57" s="496">
        <f t="shared" si="38"/>
        <v>0</v>
      </c>
      <c r="J57" s="496">
        <f t="shared" si="38"/>
        <v>3661</v>
      </c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90"/>
      <c r="AL57" s="490"/>
    </row>
    <row r="58" spans="1:38" s="491" customFormat="1" x14ac:dyDescent="0.25">
      <c r="A58" s="1049" t="s">
        <v>683</v>
      </c>
      <c r="B58" s="492" t="s">
        <v>77</v>
      </c>
      <c r="C58" s="493"/>
      <c r="D58" s="494">
        <f t="shared" ref="D58:J58" si="39">SUM(D254:D255)</f>
        <v>41131</v>
      </c>
      <c r="E58" s="494">
        <f t="shared" si="39"/>
        <v>45573</v>
      </c>
      <c r="F58" s="494">
        <f t="shared" si="39"/>
        <v>45483</v>
      </c>
      <c r="G58" s="494">
        <f t="shared" si="39"/>
        <v>34077</v>
      </c>
      <c r="H58" s="494">
        <f t="shared" si="39"/>
        <v>32120</v>
      </c>
      <c r="I58" s="494">
        <f t="shared" si="39"/>
        <v>0</v>
      </c>
      <c r="J58" s="494">
        <f t="shared" si="39"/>
        <v>45573</v>
      </c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8"/>
      <c r="AK58" s="490"/>
      <c r="AL58" s="490"/>
    </row>
    <row r="59" spans="1:38" s="491" customFormat="1" x14ac:dyDescent="0.25">
      <c r="A59" s="1049" t="s">
        <v>684</v>
      </c>
      <c r="B59" s="492" t="s">
        <v>79</v>
      </c>
      <c r="C59" s="493"/>
      <c r="D59" s="495">
        <f t="shared" ref="D59:J59" si="40">SUM(D303)</f>
        <v>1964</v>
      </c>
      <c r="E59" s="495">
        <f t="shared" si="40"/>
        <v>3283</v>
      </c>
      <c r="F59" s="495">
        <f t="shared" si="40"/>
        <v>1869</v>
      </c>
      <c r="G59" s="495">
        <f t="shared" si="40"/>
        <v>350</v>
      </c>
      <c r="H59" s="495">
        <f t="shared" si="40"/>
        <v>350</v>
      </c>
      <c r="I59" s="495">
        <f t="shared" si="40"/>
        <v>0</v>
      </c>
      <c r="J59" s="495">
        <f t="shared" si="40"/>
        <v>3283</v>
      </c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8"/>
      <c r="AK59" s="490"/>
      <c r="AL59" s="490"/>
    </row>
    <row r="60" spans="1:38" s="506" customFormat="1" ht="31.5" x14ac:dyDescent="0.25">
      <c r="A60" s="1050" t="s">
        <v>685</v>
      </c>
      <c r="B60" s="501" t="s">
        <v>670</v>
      </c>
      <c r="C60" s="493"/>
      <c r="D60" s="499">
        <f t="shared" ref="D60:J60" si="41">SUM(D61:D63)</f>
        <v>950</v>
      </c>
      <c r="E60" s="499">
        <f t="shared" si="41"/>
        <v>1500</v>
      </c>
      <c r="F60" s="499">
        <f t="shared" si="41"/>
        <v>1500</v>
      </c>
      <c r="G60" s="499">
        <f t="shared" si="41"/>
        <v>1500</v>
      </c>
      <c r="H60" s="499">
        <f t="shared" si="41"/>
        <v>1500</v>
      </c>
      <c r="I60" s="499">
        <f t="shared" si="41"/>
        <v>0</v>
      </c>
      <c r="J60" s="499">
        <f t="shared" si="41"/>
        <v>1500</v>
      </c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504"/>
      <c r="AK60" s="505"/>
      <c r="AL60" s="505"/>
    </row>
    <row r="61" spans="1:38" s="506" customFormat="1" hidden="1" x14ac:dyDescent="0.25">
      <c r="A61" s="1049" t="s">
        <v>82</v>
      </c>
      <c r="B61" s="492" t="s">
        <v>17</v>
      </c>
      <c r="C61" s="493"/>
      <c r="D61" s="495">
        <f>'Pl 2014-17 PFC'!D59</f>
        <v>950</v>
      </c>
      <c r="E61" s="495">
        <f>'Pl 2014-17 PFC'!E59</f>
        <v>1500</v>
      </c>
      <c r="F61" s="495">
        <f>'Pl 2014-17 PFC'!F59</f>
        <v>1500</v>
      </c>
      <c r="G61" s="495">
        <f>'Pl 2014-17 PFC'!G59</f>
        <v>1500</v>
      </c>
      <c r="H61" s="495">
        <f>'Pl 2014-17 PFC'!H59</f>
        <v>1500</v>
      </c>
      <c r="I61" s="495">
        <f>'Pl 2014-17 PFC'!J59</f>
        <v>0</v>
      </c>
      <c r="J61" s="495">
        <f>'Pl 2014-17 PFC'!K59</f>
        <v>1500</v>
      </c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5"/>
      <c r="AL61" s="505"/>
    </row>
    <row r="62" spans="1:38" s="506" customFormat="1" hidden="1" x14ac:dyDescent="0.25">
      <c r="A62" s="497" t="s">
        <v>83</v>
      </c>
      <c r="B62" s="1122" t="s">
        <v>18</v>
      </c>
      <c r="C62" s="1122"/>
      <c r="D62" s="507"/>
      <c r="E62" s="507"/>
      <c r="F62" s="507"/>
      <c r="G62" s="507"/>
      <c r="H62" s="507"/>
      <c r="I62" s="507"/>
      <c r="J62" s="507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5"/>
      <c r="AL62" s="505"/>
    </row>
    <row r="63" spans="1:38" s="512" customFormat="1" ht="11.25" x14ac:dyDescent="0.2">
      <c r="A63" s="508"/>
      <c r="B63" s="1123"/>
      <c r="C63" s="1123"/>
      <c r="D63" s="509"/>
      <c r="E63" s="509"/>
      <c r="F63" s="509"/>
      <c r="G63" s="509"/>
      <c r="H63" s="509"/>
      <c r="I63" s="509"/>
      <c r="J63" s="509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1"/>
      <c r="AL63" s="511"/>
    </row>
    <row r="64" spans="1:38" s="453" customFormat="1" ht="18.75" x14ac:dyDescent="0.3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5"/>
      <c r="AL64" s="455"/>
    </row>
    <row r="65" spans="1:38" ht="19.5" thickBot="1" x14ac:dyDescent="0.35">
      <c r="A65" s="461" t="s">
        <v>376</v>
      </c>
      <c r="B65" s="460"/>
      <c r="D65" s="513"/>
      <c r="E65" s="513"/>
      <c r="F65" s="513"/>
      <c r="G65" s="513"/>
      <c r="H65" s="513"/>
      <c r="I65" s="513"/>
      <c r="J65" s="513"/>
    </row>
    <row r="66" spans="1:38" s="466" customFormat="1" ht="105.75" customHeight="1" thickBot="1" x14ac:dyDescent="0.3">
      <c r="A66" s="1109" t="s">
        <v>7</v>
      </c>
      <c r="B66" s="1110" t="s">
        <v>8</v>
      </c>
      <c r="C66" s="1109" t="s">
        <v>85</v>
      </c>
      <c r="D66" s="463" t="str">
        <f>'Pl 2014-17 PFC'!D14</f>
        <v>Przewidywane 
wykonanie 
w 2013 r.</v>
      </c>
      <c r="E66" s="463" t="str">
        <f>E14</f>
        <v>Plan wg. Ustawy Budżetowej zmieniony
za zgodą MF z dnia 
30  kwietnia 2014 r. oraz 
opinią KFP 
z dnia 7 maja 2014 r.</v>
      </c>
      <c r="F66" s="463" t="str">
        <f>'Pl 2014-17 PFC'!F14</f>
        <v>Projekt planu 
na 2015 r.</v>
      </c>
      <c r="G66" s="463" t="str">
        <f>'Pl 2014-17 PFC'!G14</f>
        <v>Projekt planu 
na 2016 r.</v>
      </c>
      <c r="H66" s="463" t="str">
        <f>'Pl 2014-17 PFC'!H14</f>
        <v>Projekt planu 
na 2017 r.</v>
      </c>
      <c r="I66" s="463" t="str">
        <f>I14</f>
        <v>Wniosek o przeniesienie</v>
      </c>
      <c r="J66" s="463" t="str">
        <f>J14</f>
        <v>Plan po zmianach</v>
      </c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5"/>
      <c r="AL66" s="465"/>
    </row>
    <row r="67" spans="1:38" s="466" customFormat="1" ht="16.5" customHeight="1" thickBot="1" x14ac:dyDescent="0.3">
      <c r="A67" s="1109"/>
      <c r="B67" s="1110"/>
      <c r="C67" s="1109"/>
      <c r="D67" s="1115" t="str">
        <f>D15</f>
        <v>w tysiącach złotych</v>
      </c>
      <c r="E67" s="1116"/>
      <c r="F67" s="1116"/>
      <c r="G67" s="1116"/>
      <c r="H67" s="1116"/>
      <c r="I67" s="1116"/>
      <c r="J67" s="1117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5"/>
      <c r="AL67" s="465"/>
    </row>
    <row r="68" spans="1:38" s="474" customFormat="1" ht="12.95" customHeight="1" thickBot="1" x14ac:dyDescent="0.25">
      <c r="A68" s="467">
        <v>1</v>
      </c>
      <c r="B68" s="514">
        <v>2</v>
      </c>
      <c r="C68" s="469">
        <v>3</v>
      </c>
      <c r="D68" s="470">
        <v>4</v>
      </c>
      <c r="E68" s="469" t="s">
        <v>666</v>
      </c>
      <c r="F68" s="471">
        <v>6</v>
      </c>
      <c r="G68" s="471">
        <v>7</v>
      </c>
      <c r="H68" s="469" t="s">
        <v>377</v>
      </c>
      <c r="I68" s="469" t="s">
        <v>663</v>
      </c>
      <c r="J68" s="469" t="s">
        <v>667</v>
      </c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3"/>
      <c r="AL68" s="473"/>
    </row>
    <row r="69" spans="1:38" s="474" customFormat="1" ht="9.9499999999999993" customHeight="1" x14ac:dyDescent="0.2">
      <c r="A69" s="475"/>
      <c r="B69" s="515"/>
      <c r="C69" s="477"/>
      <c r="D69" s="516"/>
      <c r="E69" s="478"/>
      <c r="F69" s="478"/>
      <c r="G69" s="478"/>
      <c r="H69" s="478"/>
      <c r="I69" s="478"/>
      <c r="J69" s="478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3"/>
      <c r="AL69" s="473"/>
    </row>
    <row r="70" spans="1:38" s="483" customFormat="1" x14ac:dyDescent="0.25">
      <c r="A70" s="1046" t="s">
        <v>15</v>
      </c>
      <c r="B70" s="517" t="s">
        <v>86</v>
      </c>
      <c r="C70" s="518" t="s">
        <v>87</v>
      </c>
      <c r="D70" s="519">
        <f t="shared" ref="D70:J70" si="42">SUM(D72:D73,D76)+SUM(D80:D85)</f>
        <v>699857</v>
      </c>
      <c r="E70" s="992">
        <f t="shared" si="42"/>
        <v>560105</v>
      </c>
      <c r="F70" s="992">
        <f t="shared" si="42"/>
        <v>304373</v>
      </c>
      <c r="G70" s="992">
        <f t="shared" si="42"/>
        <v>285810</v>
      </c>
      <c r="H70" s="992">
        <f t="shared" si="42"/>
        <v>337738</v>
      </c>
      <c r="I70" s="992">
        <f t="shared" si="42"/>
        <v>0</v>
      </c>
      <c r="J70" s="992">
        <f t="shared" si="42"/>
        <v>560105</v>
      </c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</row>
    <row r="71" spans="1:38" s="523" customFormat="1" ht="15.75" customHeight="1" x14ac:dyDescent="0.25">
      <c r="A71" s="1051"/>
      <c r="B71" s="493" t="s">
        <v>318</v>
      </c>
      <c r="C71" s="521"/>
      <c r="D71" s="496"/>
      <c r="E71" s="496"/>
      <c r="F71" s="496"/>
      <c r="G71" s="496"/>
      <c r="H71" s="496"/>
      <c r="I71" s="496"/>
      <c r="J71" s="496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522"/>
      <c r="AL71" s="522"/>
    </row>
    <row r="72" spans="1:38" s="491" customFormat="1" x14ac:dyDescent="0.25">
      <c r="A72" s="1049" t="s">
        <v>347</v>
      </c>
      <c r="B72" s="493" t="s">
        <v>378</v>
      </c>
      <c r="C72" s="521" t="s">
        <v>87</v>
      </c>
      <c r="D72" s="495">
        <f>'Pl 2014-17 PFC'!D70</f>
        <v>597769</v>
      </c>
      <c r="E72" s="495">
        <f>'Pl 2014-17 PFC'!E70</f>
        <v>551963</v>
      </c>
      <c r="F72" s="495">
        <f>'Pl 2014-17 PFC'!F70</f>
        <v>311740</v>
      </c>
      <c r="G72" s="495">
        <f>'Pl 2014-17 PFC'!G70</f>
        <v>311134</v>
      </c>
      <c r="H72" s="495">
        <f>'Pl 2014-17 PFC'!H70</f>
        <v>378419</v>
      </c>
      <c r="I72" s="495">
        <f>'Pl 2014-17 PFC'!J70</f>
        <v>0</v>
      </c>
      <c r="J72" s="495">
        <f>'Pl 2014-17 PFC'!K70</f>
        <v>551963</v>
      </c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90"/>
      <c r="AL72" s="490"/>
    </row>
    <row r="73" spans="1:38" s="491" customFormat="1" x14ac:dyDescent="0.25">
      <c r="A73" s="1049" t="s">
        <v>674</v>
      </c>
      <c r="B73" s="493" t="s">
        <v>92</v>
      </c>
      <c r="C73" s="521" t="s">
        <v>87</v>
      </c>
      <c r="D73" s="495">
        <f>'Pl 2014-17 PFC'!D73</f>
        <v>739969</v>
      </c>
      <c r="E73" s="495">
        <f>'Pl 2014-17 PFC'!E73</f>
        <v>801518</v>
      </c>
      <c r="F73" s="495">
        <f>'Pl 2014-17 PFC'!F73</f>
        <v>770240</v>
      </c>
      <c r="G73" s="495">
        <f>'Pl 2014-17 PFC'!G73</f>
        <v>769173</v>
      </c>
      <c r="H73" s="495">
        <f>'Pl 2014-17 PFC'!H73</f>
        <v>777744</v>
      </c>
      <c r="I73" s="495">
        <f>'Pl 2014-17 PFC'!J73</f>
        <v>0</v>
      </c>
      <c r="J73" s="495">
        <f>'Pl 2014-17 PFC'!K73</f>
        <v>801518</v>
      </c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90"/>
      <c r="AL73" s="490"/>
    </row>
    <row r="74" spans="1:38" s="491" customFormat="1" x14ac:dyDescent="0.25">
      <c r="A74" s="1049" t="s">
        <v>25</v>
      </c>
      <c r="B74" s="493" t="s">
        <v>379</v>
      </c>
      <c r="C74" s="521" t="s">
        <v>87</v>
      </c>
      <c r="D74" s="495">
        <f>'Pl 2014-17 PFC'!D74</f>
        <v>582217</v>
      </c>
      <c r="E74" s="495">
        <f>'Pl 2014-17 PFC'!E74</f>
        <v>640000</v>
      </c>
      <c r="F74" s="495">
        <f>'Pl 2014-17 PFC'!F74</f>
        <v>610000</v>
      </c>
      <c r="G74" s="495">
        <f>'Pl 2014-17 PFC'!G74</f>
        <v>610000</v>
      </c>
      <c r="H74" s="495">
        <f>'Pl 2014-17 PFC'!H74</f>
        <v>620000</v>
      </c>
      <c r="I74" s="495">
        <f>'Pl 2014-17 PFC'!J74</f>
        <v>0</v>
      </c>
      <c r="J74" s="495">
        <f>'Pl 2014-17 PFC'!K74</f>
        <v>640000</v>
      </c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90"/>
      <c r="AL74" s="490"/>
    </row>
    <row r="75" spans="1:38" s="491" customFormat="1" x14ac:dyDescent="0.25">
      <c r="A75" s="1049" t="s">
        <v>208</v>
      </c>
      <c r="B75" s="493" t="s">
        <v>380</v>
      </c>
      <c r="C75" s="521" t="s">
        <v>87</v>
      </c>
      <c r="D75" s="495">
        <f>'Pl 2014-17 PFC'!D75</f>
        <v>2086</v>
      </c>
      <c r="E75" s="495">
        <f>'Pl 2014-17 PFC'!E75</f>
        <v>4696</v>
      </c>
      <c r="F75" s="495">
        <f>'Pl 2014-17 PFC'!F75</f>
        <v>4644</v>
      </c>
      <c r="G75" s="495">
        <f>'Pl 2014-17 PFC'!G75</f>
        <v>4666</v>
      </c>
      <c r="H75" s="495">
        <f>'Pl 2014-17 PFC'!H75</f>
        <v>4527</v>
      </c>
      <c r="I75" s="495">
        <f>'Pl 2014-17 PFC'!J75</f>
        <v>0</v>
      </c>
      <c r="J75" s="495">
        <f>'Pl 2014-17 PFC'!K75</f>
        <v>4696</v>
      </c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90"/>
      <c r="AL75" s="490"/>
    </row>
    <row r="76" spans="1:38" s="491" customFormat="1" x14ac:dyDescent="0.25">
      <c r="A76" s="1049" t="s">
        <v>666</v>
      </c>
      <c r="B76" s="493" t="s">
        <v>381</v>
      </c>
      <c r="C76" s="521" t="s">
        <v>87</v>
      </c>
      <c r="D76" s="495">
        <f>'Pl 2014-17 PFC'!D76</f>
        <v>-72370</v>
      </c>
      <c r="E76" s="495">
        <f>'Pl 2014-17 PFC'!E76</f>
        <v>-65650</v>
      </c>
      <c r="F76" s="495">
        <f>'Pl 2014-17 PFC'!F76</f>
        <v>-69559</v>
      </c>
      <c r="G76" s="495">
        <f>'Pl 2014-17 PFC'!G76</f>
        <v>-64356</v>
      </c>
      <c r="H76" s="495">
        <f>'Pl 2014-17 PFC'!H76</f>
        <v>-64139</v>
      </c>
      <c r="I76" s="495">
        <f>'Pl 2014-17 PFC'!J76</f>
        <v>0</v>
      </c>
      <c r="J76" s="495">
        <f>'Pl 2014-17 PFC'!K76</f>
        <v>-65650</v>
      </c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90"/>
      <c r="AL76" s="490"/>
    </row>
    <row r="77" spans="1:38" s="491" customFormat="1" x14ac:dyDescent="0.25">
      <c r="A77" s="1049" t="s">
        <v>382</v>
      </c>
      <c r="B77" s="493" t="str">
        <f>+'Pl 2014-17 PFC'!B77</f>
        <v>pozostałe</v>
      </c>
      <c r="C77" s="521" t="s">
        <v>87</v>
      </c>
      <c r="D77" s="495">
        <f>'Pl 2014-17 PFC'!D77</f>
        <v>-72370</v>
      </c>
      <c r="E77" s="495">
        <f>'Pl 2014-17 PFC'!E77</f>
        <v>-65650</v>
      </c>
      <c r="F77" s="495">
        <f>'Pl 2014-17 PFC'!F77</f>
        <v>-69559</v>
      </c>
      <c r="G77" s="495">
        <f>'Pl 2014-17 PFC'!G77</f>
        <v>-64356</v>
      </c>
      <c r="H77" s="495">
        <f>'Pl 2014-17 PFC'!H77</f>
        <v>-64139</v>
      </c>
      <c r="I77" s="495">
        <f>'Pl 2014-17 PFC'!J77</f>
        <v>0</v>
      </c>
      <c r="J77" s="495">
        <f>'Pl 2014-17 PFC'!K77</f>
        <v>-65650</v>
      </c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90"/>
      <c r="AL77" s="490"/>
    </row>
    <row r="78" spans="1:38" s="491" customFormat="1" hidden="1" x14ac:dyDescent="0.25">
      <c r="A78" s="1049" t="s">
        <v>99</v>
      </c>
      <c r="B78" s="493" t="str">
        <f>+'Pl 2014-17 PFC'!B78</f>
        <v xml:space="preserve">  - wymagalne</v>
      </c>
      <c r="C78" s="521" t="s">
        <v>87</v>
      </c>
      <c r="D78" s="495">
        <f>'Pl 2014-17 PFC'!D78</f>
        <v>0</v>
      </c>
      <c r="E78" s="495">
        <f>'Pl 2014-17 PFC'!E78</f>
        <v>0</v>
      </c>
      <c r="F78" s="495">
        <f>'Pl 2014-17 PFC'!F78</f>
        <v>0</v>
      </c>
      <c r="G78" s="495">
        <f>'Pl 2014-17 PFC'!G78</f>
        <v>0</v>
      </c>
      <c r="H78" s="495">
        <f>'Pl 2014-17 PFC'!H78</f>
        <v>0</v>
      </c>
      <c r="I78" s="495">
        <f>'Pl 2014-17 PFC'!J78</f>
        <v>0</v>
      </c>
      <c r="J78" s="495">
        <f>'Pl 2014-17 PFC'!K78</f>
        <v>0</v>
      </c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90"/>
      <c r="AL78" s="490"/>
    </row>
    <row r="79" spans="1:38" s="491" customFormat="1" x14ac:dyDescent="0.25">
      <c r="A79" s="1049" t="s">
        <v>383</v>
      </c>
      <c r="B79" s="493" t="s">
        <v>101</v>
      </c>
      <c r="C79" s="521" t="s">
        <v>87</v>
      </c>
      <c r="D79" s="495"/>
      <c r="E79" s="1065">
        <f>'Pl 2014-17 PFC'!F78</f>
        <v>0</v>
      </c>
      <c r="F79" s="1065">
        <f>'Pl 2014-17 PFC'!G78</f>
        <v>0</v>
      </c>
      <c r="G79" s="1065">
        <f>'Pl 2014-17 PFC'!H78</f>
        <v>0</v>
      </c>
      <c r="H79" s="1065" t="str">
        <f>'Pl 2014-17 PFC'!I78</f>
        <v>$#ODWOŁANIE$#ODWOŁANIE</v>
      </c>
      <c r="I79" s="1065">
        <f>'Pl 2014-17 PFC'!J78</f>
        <v>0</v>
      </c>
      <c r="J79" s="1065">
        <f>'Pl 2014-17 PFC'!K78</f>
        <v>0</v>
      </c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490"/>
      <c r="AL79" s="490"/>
    </row>
    <row r="80" spans="1:38" s="523" customFormat="1" hidden="1" x14ac:dyDescent="0.25">
      <c r="A80" s="486" t="s">
        <v>29</v>
      </c>
      <c r="B80" s="493" t="s">
        <v>102</v>
      </c>
      <c r="C80" s="521" t="s">
        <v>87</v>
      </c>
      <c r="D80" s="495">
        <f>'Pl 2014-17 PFC'!D80</f>
        <v>24779</v>
      </c>
      <c r="E80" s="495">
        <f>'Pl 2014-17 PFC'!E80</f>
        <v>23014</v>
      </c>
      <c r="F80" s="495">
        <f>'Pl 2014-17 PFC'!F80</f>
        <v>24034</v>
      </c>
      <c r="G80" s="495">
        <f>'Pl 2014-17 PFC'!G80</f>
        <v>23028</v>
      </c>
      <c r="H80" s="495">
        <f>'Pl 2014-17 PFC'!H80</f>
        <v>21021</v>
      </c>
      <c r="I80" s="495">
        <f>'Pl 2014-17 PFC'!J80</f>
        <v>0</v>
      </c>
      <c r="J80" s="495">
        <f>'Pl 2014-17 PFC'!K80</f>
        <v>23014</v>
      </c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522"/>
      <c r="AL80" s="522"/>
    </row>
    <row r="81" spans="1:38" s="523" customFormat="1" hidden="1" x14ac:dyDescent="0.25">
      <c r="A81" s="486" t="s">
        <v>31</v>
      </c>
      <c r="B81" s="493" t="s">
        <v>103</v>
      </c>
      <c r="C81" s="521" t="s">
        <v>87</v>
      </c>
      <c r="D81" s="495">
        <f>'Pl 2014-17 PFC'!D81</f>
        <v>34086</v>
      </c>
      <c r="E81" s="495">
        <f>'Pl 2014-17 PFC'!E81</f>
        <v>35844</v>
      </c>
      <c r="F81" s="495">
        <f>'Pl 2014-17 PFC'!F81</f>
        <v>36479</v>
      </c>
      <c r="G81" s="495">
        <f>'Pl 2014-17 PFC'!G81</f>
        <v>35062</v>
      </c>
      <c r="H81" s="495">
        <f>'Pl 2014-17 PFC'!H81</f>
        <v>32803</v>
      </c>
      <c r="I81" s="495">
        <f>'Pl 2014-17 PFC'!J81</f>
        <v>0</v>
      </c>
      <c r="J81" s="495">
        <f>'Pl 2014-17 PFC'!K81</f>
        <v>35844</v>
      </c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522"/>
      <c r="AL81" s="522"/>
    </row>
    <row r="82" spans="1:38" s="491" customFormat="1" hidden="1" x14ac:dyDescent="0.25">
      <c r="A82" s="486" t="s">
        <v>35</v>
      </c>
      <c r="B82" s="493" t="s">
        <v>104</v>
      </c>
      <c r="C82" s="521" t="s">
        <v>87</v>
      </c>
      <c r="D82" s="495">
        <f>'Pl 2014-17 PFC'!D82</f>
        <v>-3279</v>
      </c>
      <c r="E82" s="495">
        <f>'Pl 2014-17 PFC'!E82</f>
        <v>-4750</v>
      </c>
      <c r="F82" s="495">
        <f>'Pl 2014-17 PFC'!F82</f>
        <v>-4750</v>
      </c>
      <c r="G82" s="495">
        <f>'Pl 2014-17 PFC'!G82</f>
        <v>-4875</v>
      </c>
      <c r="H82" s="495">
        <f>'Pl 2014-17 PFC'!H82</f>
        <v>-4850</v>
      </c>
      <c r="I82" s="495">
        <f>'Pl 2014-17 PFC'!J82</f>
        <v>0</v>
      </c>
      <c r="J82" s="495">
        <f>'Pl 2014-17 PFC'!K82</f>
        <v>-4750</v>
      </c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90"/>
      <c r="AL82" s="490"/>
    </row>
    <row r="83" spans="1:38" s="491" customFormat="1" hidden="1" x14ac:dyDescent="0.25">
      <c r="A83" s="486" t="s">
        <v>37</v>
      </c>
      <c r="B83" s="493" t="s">
        <v>105</v>
      </c>
      <c r="C83" s="521" t="s">
        <v>87</v>
      </c>
      <c r="D83" s="495">
        <f>'Pl 2014-17 PFC'!D83</f>
        <v>0</v>
      </c>
      <c r="E83" s="495">
        <f>'Pl 2014-17 PFC'!E83</f>
        <v>0</v>
      </c>
      <c r="F83" s="495">
        <f>'Pl 2014-17 PFC'!F83</f>
        <v>0</v>
      </c>
      <c r="G83" s="495">
        <f>'Pl 2014-17 PFC'!G83</f>
        <v>0</v>
      </c>
      <c r="H83" s="495">
        <f>'Pl 2014-17 PFC'!H83</f>
        <v>0</v>
      </c>
      <c r="I83" s="495">
        <f>'Pl 2014-17 PFC'!J83</f>
        <v>0</v>
      </c>
      <c r="J83" s="495">
        <f>'Pl 2014-17 PFC'!K83</f>
        <v>0</v>
      </c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90"/>
      <c r="AL83" s="490"/>
    </row>
    <row r="84" spans="1:38" s="491" customFormat="1" hidden="1" x14ac:dyDescent="0.25">
      <c r="A84" s="486" t="s">
        <v>41</v>
      </c>
      <c r="B84" s="493" t="s">
        <v>106</v>
      </c>
      <c r="C84" s="521" t="s">
        <v>87</v>
      </c>
      <c r="D84" s="495">
        <f>'Pl 2014-17 PFC'!D84</f>
        <v>-618809</v>
      </c>
      <c r="E84" s="495">
        <f>'Pl 2014-17 PFC'!E84</f>
        <v>-778534</v>
      </c>
      <c r="F84" s="495">
        <f>'Pl 2014-17 PFC'!F84</f>
        <v>-760561</v>
      </c>
      <c r="G84" s="495">
        <f>'Pl 2014-17 PFC'!G84</f>
        <v>-780156</v>
      </c>
      <c r="H84" s="495">
        <f>'Pl 2014-17 PFC'!H84</f>
        <v>-800010</v>
      </c>
      <c r="I84" s="495">
        <f>'Pl 2014-17 PFC'!J84</f>
        <v>0</v>
      </c>
      <c r="J84" s="495">
        <f>'Pl 2014-17 PFC'!K84</f>
        <v>-778534</v>
      </c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90"/>
      <c r="AL84" s="490"/>
    </row>
    <row r="85" spans="1:38" s="491" customFormat="1" hidden="1" x14ac:dyDescent="0.25">
      <c r="A85" s="486" t="s">
        <v>44</v>
      </c>
      <c r="B85" s="493" t="s">
        <v>107</v>
      </c>
      <c r="C85" s="521" t="s">
        <v>87</v>
      </c>
      <c r="D85" s="495">
        <f>'Pl 2014-17 PFC'!D85</f>
        <v>-2288</v>
      </c>
      <c r="E85" s="495">
        <f>'Pl 2014-17 PFC'!E85</f>
        <v>-3300</v>
      </c>
      <c r="F85" s="495">
        <f>'Pl 2014-17 PFC'!F85</f>
        <v>-3250</v>
      </c>
      <c r="G85" s="495">
        <f>'Pl 2014-17 PFC'!G85</f>
        <v>-3200</v>
      </c>
      <c r="H85" s="495">
        <f>'Pl 2014-17 PFC'!H85</f>
        <v>-3250</v>
      </c>
      <c r="I85" s="495">
        <f>'Pl 2014-17 PFC'!J85</f>
        <v>0</v>
      </c>
      <c r="J85" s="495">
        <f>'Pl 2014-17 PFC'!K85</f>
        <v>-3300</v>
      </c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90"/>
      <c r="AL85" s="490"/>
    </row>
    <row r="86" spans="1:38" s="512" customFormat="1" ht="15" x14ac:dyDescent="0.25">
      <c r="A86" s="524"/>
      <c r="B86" s="525"/>
      <c r="C86" s="526"/>
      <c r="D86" s="509"/>
      <c r="E86" s="509"/>
      <c r="F86" s="509"/>
      <c r="G86" s="509"/>
      <c r="H86" s="509"/>
      <c r="I86" s="1061"/>
      <c r="J86" s="509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1"/>
      <c r="AL86" s="511"/>
    </row>
    <row r="87" spans="1:38" s="483" customFormat="1" x14ac:dyDescent="0.25">
      <c r="A87" s="1048" t="s">
        <v>108</v>
      </c>
      <c r="B87" s="527" t="s">
        <v>384</v>
      </c>
      <c r="C87" s="528" t="s">
        <v>87</v>
      </c>
      <c r="D87" s="529">
        <f t="shared" ref="D87:J87" si="43">SUM(D89,D94,D96,D98,D100)</f>
        <v>4662896</v>
      </c>
      <c r="E87" s="990">
        <f t="shared" si="43"/>
        <v>4691735</v>
      </c>
      <c r="F87" s="990">
        <f t="shared" si="43"/>
        <v>4924792</v>
      </c>
      <c r="G87" s="990">
        <f t="shared" si="43"/>
        <v>5105111</v>
      </c>
      <c r="H87" s="990">
        <f t="shared" si="43"/>
        <v>5208847</v>
      </c>
      <c r="I87" s="990">
        <f t="shared" si="43"/>
        <v>0</v>
      </c>
      <c r="J87" s="990">
        <f t="shared" si="43"/>
        <v>4691735</v>
      </c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</row>
    <row r="88" spans="1:38" s="535" customFormat="1" ht="9.9499999999999993" customHeight="1" x14ac:dyDescent="0.2">
      <c r="A88" s="1052"/>
      <c r="B88" s="530"/>
      <c r="C88" s="531"/>
      <c r="D88" s="532"/>
      <c r="E88" s="533"/>
      <c r="F88" s="533"/>
      <c r="G88" s="533"/>
      <c r="H88" s="533"/>
      <c r="I88" s="533"/>
      <c r="J88" s="533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34"/>
      <c r="AL88" s="534"/>
    </row>
    <row r="89" spans="1:38" s="537" customFormat="1" x14ac:dyDescent="0.25">
      <c r="A89" s="1053" t="s">
        <v>347</v>
      </c>
      <c r="B89" s="493" t="s">
        <v>385</v>
      </c>
      <c r="C89" s="521" t="s">
        <v>87</v>
      </c>
      <c r="D89" s="494">
        <f>D90</f>
        <v>745360</v>
      </c>
      <c r="E89" s="494">
        <f>E90</f>
        <v>745360</v>
      </c>
      <c r="F89" s="494">
        <f>F90</f>
        <v>745360</v>
      </c>
      <c r="G89" s="494">
        <f>G90</f>
        <v>745360</v>
      </c>
      <c r="H89" s="494">
        <f>H90</f>
        <v>745360</v>
      </c>
      <c r="I89" s="494">
        <f>'Pl 2014-17 PFC'!J89</f>
        <v>0</v>
      </c>
      <c r="J89" s="494">
        <f>'Pl 2014-17 PFC'!K89</f>
        <v>745360</v>
      </c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536"/>
      <c r="AL89" s="536"/>
    </row>
    <row r="90" spans="1:38" s="537" customFormat="1" x14ac:dyDescent="0.25">
      <c r="A90" s="1054" t="s">
        <v>21</v>
      </c>
      <c r="B90" s="493" t="s">
        <v>386</v>
      </c>
      <c r="C90" s="521" t="s">
        <v>115</v>
      </c>
      <c r="D90" s="496">
        <f>'Pl 2014-17 PFC'!D91+'Pl 2014-17 PFC'!D92</f>
        <v>745360</v>
      </c>
      <c r="E90" s="496">
        <f>'Pl 2014-17 PFC'!E91+'Pl 2014-17 PFC'!E92</f>
        <v>745360</v>
      </c>
      <c r="F90" s="496">
        <f>'Pl 2014-17 PFC'!F91+'Pl 2014-17 PFC'!F92</f>
        <v>745360</v>
      </c>
      <c r="G90" s="496">
        <f>'Pl 2014-17 PFC'!G91+'Pl 2014-17 PFC'!G92</f>
        <v>745360</v>
      </c>
      <c r="H90" s="496">
        <f>'Pl 2014-17 PFC'!H91+'Pl 2014-17 PFC'!H92</f>
        <v>745360</v>
      </c>
      <c r="I90" s="496">
        <f>'Pl 2014-17 PFC'!J89</f>
        <v>0</v>
      </c>
      <c r="J90" s="496">
        <f>'Pl 2014-17 PFC'!K89</f>
        <v>745360</v>
      </c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536"/>
      <c r="AL90" s="536"/>
    </row>
    <row r="91" spans="1:38" s="537" customFormat="1" ht="45" hidden="1" x14ac:dyDescent="0.25">
      <c r="A91" s="1054" t="s">
        <v>22</v>
      </c>
      <c r="B91" s="538" t="s">
        <v>387</v>
      </c>
      <c r="C91" s="521" t="s">
        <v>115</v>
      </c>
      <c r="D91" s="496">
        <f>'Pl 2014-17 PFC'!D91</f>
        <v>25000</v>
      </c>
      <c r="E91" s="496">
        <f>'Pl 2014-17 PFC'!E91</f>
        <v>27500</v>
      </c>
      <c r="F91" s="496">
        <f>'Pl 2014-17 PFC'!F91</f>
        <v>27500</v>
      </c>
      <c r="G91" s="496">
        <f>'Pl 2014-17 PFC'!G91</f>
        <v>27500</v>
      </c>
      <c r="H91" s="496">
        <f>'Pl 2014-17 PFC'!H91</f>
        <v>27500</v>
      </c>
      <c r="I91" s="494">
        <f>'Pl 2014-17 PFC'!J91</f>
        <v>0</v>
      </c>
      <c r="J91" s="494">
        <f>'Pl 2014-17 PFC'!K91</f>
        <v>27500</v>
      </c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536"/>
      <c r="AL91" s="536"/>
    </row>
    <row r="92" spans="1:38" s="537" customFormat="1" hidden="1" x14ac:dyDescent="0.25">
      <c r="A92" s="1053" t="s">
        <v>331</v>
      </c>
      <c r="B92" s="539" t="s">
        <v>116</v>
      </c>
      <c r="C92" s="521" t="s">
        <v>115</v>
      </c>
      <c r="D92" s="496">
        <f>'Pl 2014-17 PFC'!D92</f>
        <v>720360</v>
      </c>
      <c r="E92" s="496">
        <f>'Pl 2014-17 PFC'!E92</f>
        <v>717860</v>
      </c>
      <c r="F92" s="496">
        <f>'Pl 2014-17 PFC'!F92</f>
        <v>717860</v>
      </c>
      <c r="G92" s="496">
        <f>'Pl 2014-17 PFC'!G92</f>
        <v>717860</v>
      </c>
      <c r="H92" s="496">
        <f>'Pl 2014-17 PFC'!H92</f>
        <v>717860</v>
      </c>
      <c r="I92" s="494">
        <f>'Pl 2014-17 PFC'!J92</f>
        <v>0</v>
      </c>
      <c r="J92" s="494">
        <f>'Pl 2014-17 PFC'!K92</f>
        <v>717860</v>
      </c>
      <c r="K92" s="450"/>
      <c r="L92" s="450"/>
      <c r="M92" s="450"/>
      <c r="N92" s="450"/>
      <c r="O92" s="450"/>
      <c r="P92" s="450"/>
      <c r="Q92" s="450"/>
      <c r="R92" s="450"/>
      <c r="S92" s="450"/>
      <c r="T92" s="450"/>
      <c r="U92" s="450"/>
      <c r="V92" s="450"/>
      <c r="W92" s="450"/>
      <c r="X92" s="450"/>
      <c r="Y92" s="450"/>
      <c r="Z92" s="450"/>
      <c r="AA92" s="450"/>
      <c r="AB92" s="450"/>
      <c r="AC92" s="450"/>
      <c r="AD92" s="450"/>
      <c r="AE92" s="450"/>
      <c r="AF92" s="450"/>
      <c r="AG92" s="450"/>
      <c r="AH92" s="450"/>
      <c r="AI92" s="450"/>
      <c r="AJ92" s="450"/>
      <c r="AK92" s="536"/>
      <c r="AL92" s="536"/>
    </row>
    <row r="93" spans="1:38" s="537" customFormat="1" hidden="1" x14ac:dyDescent="0.25">
      <c r="A93" s="1053"/>
      <c r="B93" s="539"/>
      <c r="C93" s="521"/>
      <c r="D93" s="496"/>
      <c r="E93" s="496"/>
      <c r="F93" s="496"/>
      <c r="G93" s="496"/>
      <c r="H93" s="496"/>
      <c r="I93" s="496"/>
      <c r="J93" s="496"/>
      <c r="K93" s="450"/>
      <c r="L93" s="450"/>
      <c r="M93" s="450"/>
      <c r="N93" s="450"/>
      <c r="O93" s="450"/>
      <c r="P93" s="450"/>
      <c r="Q93" s="450"/>
      <c r="R93" s="450"/>
      <c r="S93" s="450"/>
      <c r="T93" s="450"/>
      <c r="U93" s="450"/>
      <c r="V93" s="450"/>
      <c r="W93" s="450"/>
      <c r="X93" s="450"/>
      <c r="Y93" s="450"/>
      <c r="Z93" s="450"/>
      <c r="AA93" s="450"/>
      <c r="AB93" s="450"/>
      <c r="AC93" s="450"/>
      <c r="AD93" s="450"/>
      <c r="AE93" s="450"/>
      <c r="AF93" s="450"/>
      <c r="AG93" s="450"/>
      <c r="AH93" s="450"/>
      <c r="AI93" s="450"/>
      <c r="AJ93" s="450"/>
      <c r="AK93" s="536"/>
      <c r="AL93" s="536"/>
    </row>
    <row r="94" spans="1:38" s="537" customFormat="1" x14ac:dyDescent="0.25">
      <c r="A94" s="1055" t="s">
        <v>674</v>
      </c>
      <c r="B94" s="540" t="s">
        <v>117</v>
      </c>
      <c r="C94" s="521" t="s">
        <v>113</v>
      </c>
      <c r="D94" s="496">
        <f>'Pl 2014-17 PFC'!D94</f>
        <v>59367</v>
      </c>
      <c r="E94" s="496">
        <f>'Pl 2014-17 PFC'!E94</f>
        <v>39203</v>
      </c>
      <c r="F94" s="496">
        <f>'Pl 2014-17 PFC'!F94</f>
        <v>31000</v>
      </c>
      <c r="G94" s="496">
        <f>'Pl 2014-17 PFC'!G94</f>
        <v>0</v>
      </c>
      <c r="H94" s="496">
        <f>'Pl 2014-17 PFC'!H94</f>
        <v>0</v>
      </c>
      <c r="I94" s="496">
        <f>'Pl 2014-17 PFC'!J94</f>
        <v>0</v>
      </c>
      <c r="J94" s="496">
        <f>'Pl 2014-17 PFC'!K94</f>
        <v>39203</v>
      </c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536"/>
      <c r="AL94" s="536"/>
    </row>
    <row r="95" spans="1:38" s="537" customFormat="1" ht="9.9499999999999993" hidden="1" customHeight="1" x14ac:dyDescent="0.25">
      <c r="A95" s="1055"/>
      <c r="B95" s="540"/>
      <c r="C95" s="521"/>
      <c r="D95" s="496"/>
      <c r="E95" s="496"/>
      <c r="F95" s="496"/>
      <c r="G95" s="496"/>
      <c r="H95" s="496"/>
      <c r="I95" s="496"/>
      <c r="J95" s="496"/>
      <c r="K95" s="450"/>
      <c r="L95" s="450"/>
      <c r="M95" s="450"/>
      <c r="N95" s="450"/>
      <c r="O95" s="450"/>
      <c r="P95" s="450"/>
      <c r="Q95" s="450"/>
      <c r="R95" s="450"/>
      <c r="S95" s="450"/>
      <c r="T95" s="450"/>
      <c r="U95" s="450"/>
      <c r="V95" s="450"/>
      <c r="W95" s="450"/>
      <c r="X95" s="450"/>
      <c r="Y95" s="450"/>
      <c r="Z95" s="450"/>
      <c r="AA95" s="450"/>
      <c r="AB95" s="450"/>
      <c r="AC95" s="450"/>
      <c r="AD95" s="450"/>
      <c r="AE95" s="450"/>
      <c r="AF95" s="450"/>
      <c r="AG95" s="450"/>
      <c r="AH95" s="450"/>
      <c r="AI95" s="450"/>
      <c r="AJ95" s="450"/>
      <c r="AK95" s="536"/>
      <c r="AL95" s="536"/>
    </row>
    <row r="96" spans="1:38" s="537" customFormat="1" x14ac:dyDescent="0.25">
      <c r="A96" s="1053" t="s">
        <v>666</v>
      </c>
      <c r="B96" s="493" t="s">
        <v>388</v>
      </c>
      <c r="C96" s="521" t="s">
        <v>119</v>
      </c>
      <c r="D96" s="494">
        <f>'Pl 2014-17 PFC'!D96</f>
        <v>3666625</v>
      </c>
      <c r="E96" s="494">
        <f>'Pl 2014-17 PFC'!E96</f>
        <v>3762000</v>
      </c>
      <c r="F96" s="494">
        <f>'Pl 2014-17 PFC'!F96</f>
        <v>4016000</v>
      </c>
      <c r="G96" s="496">
        <f>'Pl 2014-17 PFC'!G96</f>
        <v>4232696</v>
      </c>
      <c r="H96" s="496">
        <f>'Pl 2014-17 PFC'!H96</f>
        <v>4336542</v>
      </c>
      <c r="I96" s="494">
        <f>'Pl 2014-17 PFC'!J96</f>
        <v>0</v>
      </c>
      <c r="J96" s="494">
        <f>'Pl 2014-17 PFC'!K96</f>
        <v>3762000</v>
      </c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536"/>
      <c r="AL96" s="536"/>
    </row>
    <row r="97" spans="1:38" s="537" customFormat="1" ht="9.9499999999999993" hidden="1" customHeight="1" x14ac:dyDescent="0.25">
      <c r="A97" s="1053"/>
      <c r="B97" s="493"/>
      <c r="C97" s="521"/>
      <c r="D97" s="496"/>
      <c r="E97" s="496"/>
      <c r="F97" s="496"/>
      <c r="G97" s="496"/>
      <c r="H97" s="496"/>
      <c r="I97" s="494"/>
      <c r="J97" s="494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0"/>
      <c r="AE97" s="450"/>
      <c r="AF97" s="450"/>
      <c r="AG97" s="450"/>
      <c r="AH97" s="450"/>
      <c r="AI97" s="450"/>
      <c r="AJ97" s="450"/>
      <c r="AK97" s="536"/>
      <c r="AL97" s="536"/>
    </row>
    <row r="98" spans="1:38" x14ac:dyDescent="0.25">
      <c r="A98" s="1053" t="s">
        <v>663</v>
      </c>
      <c r="B98" s="541" t="s">
        <v>389</v>
      </c>
      <c r="C98" s="521" t="s">
        <v>121</v>
      </c>
      <c r="D98" s="496">
        <f>'Pl 2014-17 PFC'!D98</f>
        <v>7384</v>
      </c>
      <c r="E98" s="494">
        <f>'Pl 2014-17 PFC'!E98</f>
        <v>1825</v>
      </c>
      <c r="F98" s="494">
        <f>'Pl 2014-17 PFC'!F98</f>
        <v>1825</v>
      </c>
      <c r="G98" s="494">
        <f>'Pl 2014-17 PFC'!G98</f>
        <v>1825</v>
      </c>
      <c r="H98" s="494">
        <f>'Pl 2014-17 PFC'!H98</f>
        <v>1825</v>
      </c>
      <c r="I98" s="494">
        <f>'Pl 2014-17 PFC'!J98</f>
        <v>0</v>
      </c>
      <c r="J98" s="494">
        <f>'Pl 2014-17 PFC'!K98</f>
        <v>1825</v>
      </c>
    </row>
    <row r="99" spans="1:38" ht="9.9499999999999993" hidden="1" customHeight="1" x14ac:dyDescent="0.25">
      <c r="A99" s="1053"/>
      <c r="B99" s="493"/>
      <c r="C99" s="542"/>
      <c r="D99" s="496"/>
      <c r="E99" s="496"/>
      <c r="F99" s="496"/>
      <c r="G99" s="496"/>
      <c r="H99" s="496"/>
      <c r="I99" s="494"/>
      <c r="J99" s="494"/>
    </row>
    <row r="100" spans="1:38" x14ac:dyDescent="0.25">
      <c r="A100" s="1053" t="s">
        <v>667</v>
      </c>
      <c r="B100" s="493" t="s">
        <v>390</v>
      </c>
      <c r="C100" s="542" t="s">
        <v>87</v>
      </c>
      <c r="D100" s="496">
        <f>'Pl 2014-17 PFC'!D100</f>
        <v>184160</v>
      </c>
      <c r="E100" s="496">
        <f>'Pl 2014-17 PFC'!E100</f>
        <v>143347</v>
      </c>
      <c r="F100" s="496">
        <f>'Pl 2014-17 PFC'!F100</f>
        <v>130607</v>
      </c>
      <c r="G100" s="496">
        <f>'Pl 2014-17 PFC'!G100</f>
        <v>125230</v>
      </c>
      <c r="H100" s="496">
        <f>'Pl 2014-17 PFC'!H100</f>
        <v>125120</v>
      </c>
      <c r="I100" s="494">
        <f>'Pl 2014-17 PFC'!J100</f>
        <v>0</v>
      </c>
      <c r="J100" s="494">
        <f>'Pl 2014-17 PFC'!K100</f>
        <v>143347</v>
      </c>
    </row>
    <row r="101" spans="1:38" s="547" customFormat="1" hidden="1" x14ac:dyDescent="0.25">
      <c r="A101" s="1056" t="s">
        <v>33</v>
      </c>
      <c r="B101" s="544" t="s">
        <v>123</v>
      </c>
      <c r="C101" s="521" t="s">
        <v>124</v>
      </c>
      <c r="D101" s="545">
        <f>'Pl 2014-17 PFC'!D101</f>
        <v>50</v>
      </c>
      <c r="E101" s="545">
        <f>'Pl 2014-17 PFC'!E101</f>
        <v>53</v>
      </c>
      <c r="F101" s="545">
        <f>'Pl 2014-17 PFC'!F101</f>
        <v>56</v>
      </c>
      <c r="G101" s="545">
        <f>'Pl 2014-17 PFC'!G101</f>
        <v>59</v>
      </c>
      <c r="H101" s="545">
        <f>'Pl 2014-17 PFC'!H101</f>
        <v>62</v>
      </c>
      <c r="I101" s="494">
        <f>'Pl 2014-17 PFC'!J101</f>
        <v>0</v>
      </c>
      <c r="J101" s="494">
        <f>'Pl 2014-17 PFC'!K101</f>
        <v>53</v>
      </c>
      <c r="K101" s="546"/>
      <c r="L101" s="546"/>
      <c r="M101" s="546"/>
      <c r="N101" s="546"/>
      <c r="O101" s="546"/>
      <c r="P101" s="546"/>
      <c r="Q101" s="546"/>
      <c r="R101" s="546"/>
      <c r="S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6"/>
      <c r="AD101" s="546"/>
      <c r="AE101" s="546"/>
      <c r="AF101" s="546"/>
      <c r="AG101" s="546"/>
      <c r="AH101" s="546"/>
      <c r="AI101" s="546"/>
      <c r="AJ101" s="546"/>
    </row>
    <row r="102" spans="1:38" s="547" customFormat="1" hidden="1" x14ac:dyDescent="0.25">
      <c r="A102" s="1056" t="s">
        <v>34</v>
      </c>
      <c r="B102" s="544" t="s">
        <v>125</v>
      </c>
      <c r="C102" s="521" t="s">
        <v>126</v>
      </c>
      <c r="D102" s="545">
        <f>'Pl 2014-17 PFC'!D102</f>
        <v>0</v>
      </c>
      <c r="E102" s="545">
        <f>'Pl 2014-17 PFC'!E102</f>
        <v>0</v>
      </c>
      <c r="F102" s="545">
        <f>'Pl 2014-17 PFC'!F102</f>
        <v>0</v>
      </c>
      <c r="G102" s="545">
        <f>'Pl 2014-17 PFC'!G102</f>
        <v>0</v>
      </c>
      <c r="H102" s="545">
        <f>'Pl 2014-17 PFC'!H102</f>
        <v>0</v>
      </c>
      <c r="I102" s="494">
        <f>'Pl 2014-17 PFC'!J102</f>
        <v>0</v>
      </c>
      <c r="J102" s="494">
        <f>'Pl 2014-17 PFC'!K102</f>
        <v>0</v>
      </c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546"/>
      <c r="AG102" s="546"/>
      <c r="AH102" s="546"/>
      <c r="AI102" s="546"/>
      <c r="AJ102" s="546"/>
    </row>
    <row r="103" spans="1:38" s="547" customFormat="1" hidden="1" x14ac:dyDescent="0.25">
      <c r="A103" s="1056" t="s">
        <v>127</v>
      </c>
      <c r="B103" s="544" t="s">
        <v>128</v>
      </c>
      <c r="C103" s="521" t="s">
        <v>129</v>
      </c>
      <c r="D103" s="545">
        <f>'Pl 2014-17 PFC'!D103</f>
        <v>35000</v>
      </c>
      <c r="E103" s="545">
        <f>'Pl 2014-17 PFC'!E103</f>
        <v>35000</v>
      </c>
      <c r="F103" s="545">
        <f>'Pl 2014-17 PFC'!F103</f>
        <v>35000</v>
      </c>
      <c r="G103" s="545">
        <f>'Pl 2014-17 PFC'!G103</f>
        <v>35000</v>
      </c>
      <c r="H103" s="545">
        <f>'Pl 2014-17 PFC'!H103</f>
        <v>35000</v>
      </c>
      <c r="I103" s="494">
        <f>'Pl 2014-17 PFC'!J103</f>
        <v>0</v>
      </c>
      <c r="J103" s="494">
        <f>'Pl 2014-17 PFC'!K103</f>
        <v>35000</v>
      </c>
      <c r="K103" s="546"/>
      <c r="L103" s="546"/>
      <c r="M103" s="546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46"/>
      <c r="AJ103" s="546"/>
    </row>
    <row r="104" spans="1:38" s="547" customFormat="1" x14ac:dyDescent="0.25">
      <c r="A104" s="1054" t="s">
        <v>33</v>
      </c>
      <c r="B104" s="548" t="s">
        <v>391</v>
      </c>
      <c r="C104" s="521" t="s">
        <v>132</v>
      </c>
      <c r="D104" s="496">
        <f>'Pl 2014-17 PFC'!D104</f>
        <v>21619</v>
      </c>
      <c r="E104" s="496">
        <f>'Pl 2014-17 PFC'!E104</f>
        <v>15231</v>
      </c>
      <c r="F104" s="496">
        <f>'Pl 2014-17 PFC'!F104</f>
        <v>12564</v>
      </c>
      <c r="G104" s="496">
        <f>'Pl 2014-17 PFC'!G104</f>
        <v>12024</v>
      </c>
      <c r="H104" s="496">
        <f>'Pl 2014-17 PFC'!H104</f>
        <v>12022</v>
      </c>
      <c r="I104" s="494">
        <f>'Pl 2014-17 PFC'!J104</f>
        <v>0</v>
      </c>
      <c r="J104" s="494">
        <f>'Pl 2014-17 PFC'!K104</f>
        <v>15231</v>
      </c>
      <c r="K104" s="546"/>
      <c r="L104" s="546"/>
      <c r="M104" s="546"/>
      <c r="N104" s="546"/>
      <c r="O104" s="546"/>
      <c r="P104" s="546"/>
      <c r="Q104" s="546"/>
      <c r="R104" s="546"/>
      <c r="S104" s="546"/>
      <c r="T104" s="546"/>
      <c r="U104" s="546"/>
      <c r="V104" s="546"/>
      <c r="W104" s="546"/>
      <c r="X104" s="546"/>
      <c r="Y104" s="546"/>
      <c r="Z104" s="546"/>
      <c r="AA104" s="546"/>
      <c r="AB104" s="546"/>
      <c r="AC104" s="546"/>
      <c r="AD104" s="546"/>
      <c r="AE104" s="546"/>
      <c r="AF104" s="546"/>
      <c r="AG104" s="546"/>
      <c r="AH104" s="546"/>
      <c r="AI104" s="546"/>
      <c r="AJ104" s="546"/>
    </row>
    <row r="105" spans="1:38" s="547" customFormat="1" hidden="1" x14ac:dyDescent="0.25">
      <c r="A105" s="543" t="s">
        <v>133</v>
      </c>
      <c r="B105" s="544" t="s">
        <v>134</v>
      </c>
      <c r="C105" s="521" t="s">
        <v>135</v>
      </c>
      <c r="D105" s="545">
        <f>'Pl 2014-17 PFC'!D105</f>
        <v>0</v>
      </c>
      <c r="E105" s="545">
        <f>'Pl 2014-17 PFC'!E105</f>
        <v>0</v>
      </c>
      <c r="F105" s="545">
        <f>'Pl 2014-17 PFC'!F105</f>
        <v>0</v>
      </c>
      <c r="G105" s="545">
        <f>'Pl 2014-17 PFC'!G105</f>
        <v>0</v>
      </c>
      <c r="H105" s="545">
        <f>'Pl 2014-17 PFC'!H105</f>
        <v>0</v>
      </c>
      <c r="I105" s="494">
        <f>'Pl 2014-17 PFC'!J105</f>
        <v>0</v>
      </c>
      <c r="J105" s="494">
        <f>'Pl 2014-17 PFC'!K105</f>
        <v>0</v>
      </c>
      <c r="K105" s="546"/>
      <c r="L105" s="546"/>
      <c r="M105" s="546"/>
      <c r="N105" s="546"/>
      <c r="O105" s="546"/>
      <c r="P105" s="546"/>
      <c r="Q105" s="546"/>
      <c r="R105" s="546"/>
      <c r="S105" s="546"/>
      <c r="T105" s="546"/>
      <c r="U105" s="546"/>
      <c r="V105" s="546"/>
      <c r="W105" s="546"/>
      <c r="X105" s="546"/>
      <c r="Y105" s="546"/>
      <c r="Z105" s="546"/>
      <c r="AA105" s="546"/>
      <c r="AB105" s="546"/>
      <c r="AC105" s="546"/>
      <c r="AD105" s="546"/>
      <c r="AE105" s="546"/>
      <c r="AF105" s="546"/>
      <c r="AG105" s="546"/>
      <c r="AH105" s="546"/>
      <c r="AI105" s="546"/>
      <c r="AJ105" s="546"/>
    </row>
    <row r="106" spans="1:38" s="547" customFormat="1" hidden="1" x14ac:dyDescent="0.25">
      <c r="A106" s="543" t="s">
        <v>133</v>
      </c>
      <c r="B106" s="544" t="s">
        <v>137</v>
      </c>
      <c r="C106" s="521" t="s">
        <v>138</v>
      </c>
      <c r="D106" s="545">
        <f>'Pl 2014-17 PFC'!D106</f>
        <v>119250</v>
      </c>
      <c r="E106" s="545">
        <f>'Pl 2014-17 PFC'!E106</f>
        <v>81813</v>
      </c>
      <c r="F106" s="545">
        <f>'Pl 2014-17 PFC'!F106</f>
        <v>75977</v>
      </c>
      <c r="G106" s="545">
        <f>'Pl 2014-17 PFC'!G106</f>
        <v>73854</v>
      </c>
      <c r="H106" s="545">
        <f>'Pl 2014-17 PFC'!H106</f>
        <v>73666</v>
      </c>
      <c r="I106" s="494">
        <f>'Pl 2014-17 PFC'!J106</f>
        <v>0</v>
      </c>
      <c r="J106" s="494">
        <f>'Pl 2014-17 PFC'!K106</f>
        <v>81813</v>
      </c>
      <c r="K106" s="546"/>
      <c r="L106" s="546"/>
      <c r="M106" s="546"/>
      <c r="N106" s="546"/>
      <c r="O106" s="546"/>
      <c r="P106" s="546"/>
      <c r="Q106" s="546"/>
      <c r="R106" s="546"/>
      <c r="S106" s="546"/>
      <c r="T106" s="546"/>
      <c r="U106" s="546"/>
      <c r="V106" s="546"/>
      <c r="W106" s="546"/>
      <c r="X106" s="546"/>
      <c r="Y106" s="546"/>
      <c r="Z106" s="546"/>
      <c r="AA106" s="546"/>
      <c r="AB106" s="546"/>
      <c r="AC106" s="546"/>
      <c r="AD106" s="546"/>
      <c r="AE106" s="546"/>
      <c r="AF106" s="546"/>
      <c r="AG106" s="546"/>
      <c r="AH106" s="546"/>
      <c r="AI106" s="546"/>
      <c r="AJ106" s="546"/>
    </row>
    <row r="107" spans="1:38" s="547" customFormat="1" hidden="1" x14ac:dyDescent="0.25">
      <c r="A107" s="543" t="s">
        <v>136</v>
      </c>
      <c r="B107" s="544" t="s">
        <v>140</v>
      </c>
      <c r="C107" s="521" t="s">
        <v>392</v>
      </c>
      <c r="D107" s="545">
        <f>'Pl 2014-17 PFC'!D107</f>
        <v>8241</v>
      </c>
      <c r="E107" s="545">
        <f>'Pl 2014-17 PFC'!E107</f>
        <v>11250</v>
      </c>
      <c r="F107" s="545">
        <f>'Pl 2014-17 PFC'!F107</f>
        <v>7010</v>
      </c>
      <c r="G107" s="545">
        <f>'Pl 2014-17 PFC'!G107</f>
        <v>4293</v>
      </c>
      <c r="H107" s="545">
        <f>'Pl 2014-17 PFC'!H107</f>
        <v>4370</v>
      </c>
      <c r="I107" s="494">
        <f>'Pl 2014-17 PFC'!J107</f>
        <v>0</v>
      </c>
      <c r="J107" s="494">
        <f>'Pl 2014-17 PFC'!K107</f>
        <v>11250</v>
      </c>
      <c r="K107" s="546"/>
      <c r="L107" s="546"/>
      <c r="M107" s="546"/>
      <c r="N107" s="546"/>
      <c r="O107" s="546"/>
      <c r="P107" s="546"/>
      <c r="Q107" s="546"/>
      <c r="R107" s="546"/>
      <c r="S107" s="546"/>
      <c r="T107" s="546"/>
      <c r="U107" s="546"/>
      <c r="V107" s="546"/>
      <c r="W107" s="546"/>
      <c r="X107" s="546"/>
      <c r="Y107" s="546"/>
      <c r="Z107" s="546"/>
      <c r="AA107" s="546"/>
      <c r="AB107" s="546"/>
      <c r="AC107" s="546"/>
      <c r="AD107" s="546"/>
      <c r="AE107" s="546"/>
      <c r="AF107" s="546"/>
      <c r="AG107" s="546"/>
      <c r="AH107" s="546"/>
      <c r="AI107" s="546"/>
      <c r="AJ107" s="546"/>
    </row>
    <row r="108" spans="1:38" s="547" customFormat="1" hidden="1" x14ac:dyDescent="0.25">
      <c r="A108" s="543" t="s">
        <v>139</v>
      </c>
      <c r="B108" s="544" t="s">
        <v>143</v>
      </c>
      <c r="C108" s="521" t="s">
        <v>144</v>
      </c>
      <c r="D108" s="545">
        <f>'Pl 2014-17 PFC'!D108</f>
        <v>0</v>
      </c>
      <c r="E108" s="545">
        <f>'Pl 2014-17 PFC'!E108</f>
        <v>0</v>
      </c>
      <c r="F108" s="545">
        <f>'Pl 2014-17 PFC'!F108</f>
        <v>0</v>
      </c>
      <c r="G108" s="545">
        <f>'Pl 2014-17 PFC'!G108</f>
        <v>0</v>
      </c>
      <c r="H108" s="545">
        <f>'Pl 2014-17 PFC'!H108</f>
        <v>0</v>
      </c>
      <c r="I108" s="494">
        <f>'Pl 2014-17 PFC'!J108</f>
        <v>0</v>
      </c>
      <c r="J108" s="494">
        <f>'Pl 2014-17 PFC'!K108</f>
        <v>0</v>
      </c>
      <c r="K108" s="546"/>
      <c r="L108" s="546"/>
      <c r="M108" s="546"/>
      <c r="N108" s="546"/>
      <c r="O108" s="546"/>
      <c r="P108" s="546"/>
      <c r="Q108" s="546"/>
      <c r="R108" s="546"/>
      <c r="S108" s="546"/>
      <c r="T108" s="546"/>
      <c r="U108" s="546"/>
      <c r="V108" s="546"/>
      <c r="W108" s="546"/>
      <c r="X108" s="546"/>
      <c r="Y108" s="546"/>
      <c r="Z108" s="546"/>
      <c r="AA108" s="546"/>
      <c r="AB108" s="546"/>
      <c r="AC108" s="546"/>
      <c r="AD108" s="546"/>
      <c r="AE108" s="546"/>
      <c r="AF108" s="546"/>
      <c r="AG108" s="546"/>
      <c r="AH108" s="546"/>
      <c r="AI108" s="546"/>
      <c r="AJ108" s="546"/>
    </row>
    <row r="109" spans="1:38" s="511" customFormat="1" ht="11.25" x14ac:dyDescent="0.2">
      <c r="A109" s="508"/>
      <c r="B109" s="549"/>
      <c r="C109" s="526"/>
      <c r="D109" s="509"/>
      <c r="E109" s="509"/>
      <c r="F109" s="509"/>
      <c r="G109" s="509"/>
      <c r="H109" s="509"/>
      <c r="I109" s="509"/>
      <c r="J109" s="509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0"/>
      <c r="AJ109" s="510"/>
    </row>
    <row r="110" spans="1:38" s="483" customFormat="1" ht="15" customHeight="1" x14ac:dyDescent="0.25">
      <c r="A110" s="1048" t="s">
        <v>145</v>
      </c>
      <c r="B110" s="527" t="s">
        <v>393</v>
      </c>
      <c r="C110" s="528" t="s">
        <v>87</v>
      </c>
      <c r="D110" s="550" t="e">
        <f t="shared" ref="D110:J110" si="44">SUM(D112,D172,D191,D196,D251,D293,D303)</f>
        <v>#REF!</v>
      </c>
      <c r="E110" s="991">
        <f t="shared" si="44"/>
        <v>4993040</v>
      </c>
      <c r="F110" s="991">
        <f t="shared" si="44"/>
        <v>4966014</v>
      </c>
      <c r="G110" s="991">
        <f t="shared" si="44"/>
        <v>5062735</v>
      </c>
      <c r="H110" s="991">
        <f t="shared" si="44"/>
        <v>5206064</v>
      </c>
      <c r="I110" s="991">
        <f t="shared" si="44"/>
        <v>0</v>
      </c>
      <c r="J110" s="991">
        <f t="shared" si="44"/>
        <v>4993040</v>
      </c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81"/>
      <c r="AI110" s="481"/>
      <c r="AJ110" s="481"/>
      <c r="AK110" s="481"/>
      <c r="AL110" s="481"/>
    </row>
    <row r="111" spans="1:38" s="512" customFormat="1" ht="12.75" customHeight="1" x14ac:dyDescent="0.2">
      <c r="A111" s="1057"/>
      <c r="B111" s="551"/>
      <c r="C111" s="552"/>
      <c r="D111" s="553"/>
      <c r="E111" s="553"/>
      <c r="F111" s="553"/>
      <c r="G111" s="553"/>
      <c r="H111" s="553"/>
      <c r="I111" s="553"/>
      <c r="J111" s="553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1"/>
      <c r="AL111" s="511"/>
    </row>
    <row r="112" spans="1:38" x14ac:dyDescent="0.25">
      <c r="A112" s="1049" t="s">
        <v>347</v>
      </c>
      <c r="B112" s="554" t="s">
        <v>147</v>
      </c>
      <c r="C112" s="521" t="s">
        <v>87</v>
      </c>
      <c r="D112" s="496">
        <f>SUM(D113,D142)</f>
        <v>3521311</v>
      </c>
      <c r="E112" s="496">
        <f>SUM(E113,E142)</f>
        <v>3556744</v>
      </c>
      <c r="F112" s="496">
        <f>SUM(F113,F142)</f>
        <v>3443603</v>
      </c>
      <c r="G112" s="496">
        <f>SUM(G113,G142)</f>
        <v>3485863</v>
      </c>
      <c r="H112" s="496">
        <f>SUM(H113,H142)</f>
        <v>3530008</v>
      </c>
      <c r="I112" s="496">
        <f>'Pl 2014-17 PFC'!J112</f>
        <v>0</v>
      </c>
      <c r="J112" s="496">
        <f>'Pl 2014-17 PFC'!K112</f>
        <v>3556744</v>
      </c>
    </row>
    <row r="113" spans="1:38" s="491" customFormat="1" x14ac:dyDescent="0.25">
      <c r="A113" s="1049" t="s">
        <v>21</v>
      </c>
      <c r="B113" s="554" t="s">
        <v>394</v>
      </c>
      <c r="C113" s="521" t="s">
        <v>87</v>
      </c>
      <c r="D113" s="496">
        <f>SUM(D114:D115)</f>
        <v>137352</v>
      </c>
      <c r="E113" s="496">
        <f>SUM(E114:E115)</f>
        <v>151095</v>
      </c>
      <c r="F113" s="496">
        <f>SUM(F114:F115)</f>
        <v>240175</v>
      </c>
      <c r="G113" s="496">
        <f>SUM(G114:G115)</f>
        <v>247097</v>
      </c>
      <c r="H113" s="496">
        <f>SUM(H114:H115)</f>
        <v>255567</v>
      </c>
      <c r="I113" s="496">
        <f>'Pl 2014-17 PFC'!J113</f>
        <v>0</v>
      </c>
      <c r="J113" s="496">
        <f>'Pl 2014-17 PFC'!K113</f>
        <v>151095</v>
      </c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90"/>
      <c r="AL113" s="490"/>
    </row>
    <row r="114" spans="1:38" s="491" customFormat="1" x14ac:dyDescent="0.25">
      <c r="A114" s="1049" t="s">
        <v>149</v>
      </c>
      <c r="B114" s="554" t="s">
        <v>395</v>
      </c>
      <c r="C114" s="521" t="s">
        <v>151</v>
      </c>
      <c r="D114" s="496">
        <f>SUM(D117:D121)</f>
        <v>126500</v>
      </c>
      <c r="E114" s="496">
        <f>SUM(E117:E121)</f>
        <v>140332</v>
      </c>
      <c r="F114" s="496">
        <f>SUM(F117:F121)</f>
        <v>239397</v>
      </c>
      <c r="G114" s="496">
        <f>SUM(G117:G121)</f>
        <v>247097</v>
      </c>
      <c r="H114" s="496">
        <f>SUM(H117:H121)</f>
        <v>255567</v>
      </c>
      <c r="I114" s="496">
        <f>'Pl 2014-17 PFC'!J114</f>
        <v>0</v>
      </c>
      <c r="J114" s="496">
        <f>'Pl 2014-17 PFC'!K114</f>
        <v>140332</v>
      </c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90"/>
      <c r="AL114" s="490"/>
    </row>
    <row r="115" spans="1:38" s="491" customFormat="1" x14ac:dyDescent="0.25">
      <c r="A115" s="1049" t="s">
        <v>152</v>
      </c>
      <c r="B115" s="554" t="s">
        <v>396</v>
      </c>
      <c r="C115" s="521" t="s">
        <v>154</v>
      </c>
      <c r="D115" s="496">
        <f>SUM(D116)</f>
        <v>10852</v>
      </c>
      <c r="E115" s="496">
        <f>SUM(E116)</f>
        <v>10763</v>
      </c>
      <c r="F115" s="496">
        <f>SUM(F116)</f>
        <v>778</v>
      </c>
      <c r="G115" s="496">
        <f>SUM(G116)</f>
        <v>0</v>
      </c>
      <c r="H115" s="496">
        <f>SUM(H116)</f>
        <v>0</v>
      </c>
      <c r="I115" s="496">
        <f>'Pl 2014-17 PFC'!J115</f>
        <v>0</v>
      </c>
      <c r="J115" s="496">
        <f>'Pl 2014-17 PFC'!K115</f>
        <v>10763</v>
      </c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90"/>
      <c r="AL115" s="490"/>
    </row>
    <row r="116" spans="1:38" s="491" customFormat="1" hidden="1" x14ac:dyDescent="0.25">
      <c r="A116" s="1049"/>
      <c r="B116" s="554" t="s">
        <v>397</v>
      </c>
      <c r="C116" s="521" t="s">
        <v>154</v>
      </c>
      <c r="D116" s="496">
        <f>IF(('Pl 2014-17 PFC'!D116)=0,"0",'Pl 2014-17 PFC'!D116)</f>
        <v>10852</v>
      </c>
      <c r="E116" s="496">
        <f>IF(('Pl 2014-17 PFC'!E116)=0,"0",'Pl 2014-17 PFC'!E116)</f>
        <v>10763</v>
      </c>
      <c r="F116" s="496">
        <f>IF(('Pl 2014-17 PFC'!F116)=0,"0",'Pl 2014-17 PFC'!F116)</f>
        <v>778</v>
      </c>
      <c r="G116" s="496" t="str">
        <f>IF(('Pl 2014-17 PFC'!G116)=0,"0",'Pl 2014-17 PFC'!G116)</f>
        <v>0</v>
      </c>
      <c r="H116" s="496" t="str">
        <f>IF(('Pl 2014-17 PFC'!H116)=0,"0",'Pl 2014-17 PFC'!H116)</f>
        <v>0</v>
      </c>
      <c r="I116" s="496">
        <f>'Pl 2014-17 PFC'!J116</f>
        <v>0</v>
      </c>
      <c r="J116" s="496">
        <f>'Pl 2014-17 PFC'!K116</f>
        <v>10763</v>
      </c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490"/>
      <c r="AL116" s="490"/>
    </row>
    <row r="117" spans="1:38" s="491" customFormat="1" hidden="1" x14ac:dyDescent="0.25">
      <c r="A117" s="1049"/>
      <c r="B117" s="554" t="s">
        <v>398</v>
      </c>
      <c r="C117" s="521" t="s">
        <v>151</v>
      </c>
      <c r="D117" s="496">
        <f>IF(('Pl 2014-17 PFC'!D117)=0,"0",'Pl 2014-17 PFC'!D117)</f>
        <v>1300</v>
      </c>
      <c r="E117" s="496">
        <f>IF(('Pl 2014-17 PFC'!E117)=0,"0",'Pl 2014-17 PFC'!E117)</f>
        <v>1355</v>
      </c>
      <c r="F117" s="496">
        <f>IF(('Pl 2014-17 PFC'!F117)=0,"0",'Pl 2014-17 PFC'!F117)</f>
        <v>4500</v>
      </c>
      <c r="G117" s="496">
        <f>IF(('Pl 2014-17 PFC'!G117)=0,"0",'Pl 2014-17 PFC'!G117)</f>
        <v>4500</v>
      </c>
      <c r="H117" s="496">
        <f>IF(('Pl 2014-17 PFC'!H117)=0,"0",'Pl 2014-17 PFC'!H117)</f>
        <v>4500</v>
      </c>
      <c r="I117" s="496">
        <f>'Pl 2014-17 PFC'!J117</f>
        <v>0</v>
      </c>
      <c r="J117" s="496">
        <f>'Pl 2014-17 PFC'!K117</f>
        <v>1355</v>
      </c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490"/>
      <c r="AL117" s="490"/>
    </row>
    <row r="118" spans="1:38" s="491" customFormat="1" ht="47.25" hidden="1" x14ac:dyDescent="0.25">
      <c r="A118" s="1049"/>
      <c r="B118" s="555" t="s">
        <v>399</v>
      </c>
      <c r="C118" s="521" t="s">
        <v>151</v>
      </c>
      <c r="D118" s="496">
        <f>IF(('Pl 2014-17 PFC'!D118)=0,"",'Pl 2014-17 PFC'!D118)</f>
        <v>50000</v>
      </c>
      <c r="E118" s="496">
        <f>IF(('Pl 2014-17 PFC'!E118)=0,"",'Pl 2014-17 PFC'!E118)</f>
        <v>55000</v>
      </c>
      <c r="F118" s="496">
        <f>IF(('Pl 2014-17 PFC'!F118)=0,"",'Pl 2014-17 PFC'!F118)</f>
        <v>55000</v>
      </c>
      <c r="G118" s="496">
        <f>IF(('Pl 2014-17 PFC'!G118)=0,"",'Pl 2014-17 PFC'!G118)</f>
        <v>55000</v>
      </c>
      <c r="H118" s="496">
        <f>IF(('Pl 2014-17 PFC'!H118)=0,"",'Pl 2014-17 PFC'!H118)</f>
        <v>55000</v>
      </c>
      <c r="I118" s="496">
        <f>'Pl 2014-17 PFC'!J118</f>
        <v>0</v>
      </c>
      <c r="J118" s="496">
        <f>'Pl 2014-17 PFC'!K118</f>
        <v>55000</v>
      </c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90"/>
      <c r="AL118" s="490"/>
    </row>
    <row r="119" spans="1:38" hidden="1" x14ac:dyDescent="0.25">
      <c r="A119" s="1049"/>
      <c r="B119" s="554" t="s">
        <v>400</v>
      </c>
      <c r="C119" s="521" t="s">
        <v>151</v>
      </c>
      <c r="D119" s="496">
        <f>IF(('Pl 2014-17 PFC'!D119)=0,"",'Pl 2014-17 PFC'!D119)</f>
        <v>1200</v>
      </c>
      <c r="E119" s="496">
        <f>IF(('Pl 2014-17 PFC'!E119)=0,"",'Pl 2014-17 PFC'!E119)</f>
        <v>2000</v>
      </c>
      <c r="F119" s="496">
        <f>IF(('Pl 2014-17 PFC'!F119)=0,"",'Pl 2014-17 PFC'!F119)</f>
        <v>2000</v>
      </c>
      <c r="G119" s="496">
        <f>IF(('Pl 2014-17 PFC'!G119)=0,"",'Pl 2014-17 PFC'!G119)</f>
        <v>2000</v>
      </c>
      <c r="H119" s="496">
        <f>IF(('Pl 2014-17 PFC'!H119)=0,"",'Pl 2014-17 PFC'!H119)</f>
        <v>2000</v>
      </c>
      <c r="I119" s="496">
        <f>'Pl 2014-17 PFC'!J119</f>
        <v>0</v>
      </c>
      <c r="J119" s="496">
        <f>'Pl 2014-17 PFC'!K119</f>
        <v>2000</v>
      </c>
    </row>
    <row r="120" spans="1:38" hidden="1" x14ac:dyDescent="0.25">
      <c r="A120" s="1049"/>
      <c r="B120" s="554" t="s">
        <v>401</v>
      </c>
      <c r="C120" s="521" t="s">
        <v>151</v>
      </c>
      <c r="D120" s="496">
        <f>IF(('Pl 2014-17 PFC'!D120)=0,"0",'Pl 2014-17 PFC'!D120)</f>
        <v>200</v>
      </c>
      <c r="E120" s="496">
        <f>IF(('Pl 2014-17 PFC'!E120)=0,"0",'Pl 2014-17 PFC'!E120)</f>
        <v>300</v>
      </c>
      <c r="F120" s="496">
        <f>IF(('Pl 2014-17 PFC'!F120)=0,"0",'Pl 2014-17 PFC'!F120)</f>
        <v>300</v>
      </c>
      <c r="G120" s="496">
        <f>IF(('Pl 2014-17 PFC'!G120)=0,"0",'Pl 2014-17 PFC'!G120)</f>
        <v>300</v>
      </c>
      <c r="H120" s="496">
        <f>IF(('Pl 2014-17 PFC'!H120)=0,"0",'Pl 2014-17 PFC'!H120)</f>
        <v>300</v>
      </c>
      <c r="I120" s="496">
        <f>'Pl 2014-17 PFC'!J120</f>
        <v>0</v>
      </c>
      <c r="J120" s="496">
        <f>'Pl 2014-17 PFC'!K120</f>
        <v>300</v>
      </c>
    </row>
    <row r="121" spans="1:38" ht="31.5" hidden="1" x14ac:dyDescent="0.25">
      <c r="A121" s="1049"/>
      <c r="B121" s="555" t="s">
        <v>402</v>
      </c>
      <c r="C121" s="521" t="s">
        <v>151</v>
      </c>
      <c r="D121" s="496">
        <f>SUM(D122:D140)</f>
        <v>73800</v>
      </c>
      <c r="E121" s="496">
        <f>SUM(E122:E140)</f>
        <v>81677</v>
      </c>
      <c r="F121" s="496">
        <f>SUM(F122:F140)</f>
        <v>177597</v>
      </c>
      <c r="G121" s="496">
        <f>SUM(G122:G140)</f>
        <v>185297</v>
      </c>
      <c r="H121" s="496">
        <f>SUM(H122:H140)</f>
        <v>193767</v>
      </c>
      <c r="I121" s="496">
        <f>'Pl 2014-17 PFC'!J121</f>
        <v>0</v>
      </c>
      <c r="J121" s="496">
        <f>'Pl 2014-17 PFC'!K121</f>
        <v>81677</v>
      </c>
    </row>
    <row r="122" spans="1:38" hidden="1" x14ac:dyDescent="0.25">
      <c r="A122" s="1049"/>
      <c r="B122" s="554" t="s">
        <v>303</v>
      </c>
      <c r="C122" s="521"/>
      <c r="D122" s="496" t="str">
        <f>IF(('Pl 2014-17 PFC'!D122)=0,"",'Pl 2014-17 PFC'!D122)</f>
        <v/>
      </c>
      <c r="E122" s="496" t="str">
        <f>IF(('Pl 2014-17 PFC'!E122)=0,"",'Pl 2014-17 PFC'!E122)</f>
        <v/>
      </c>
      <c r="F122" s="496" t="str">
        <f>IF(('Pl 2014-17 PFC'!F122)=0,"",'Pl 2014-17 PFC'!F122)</f>
        <v/>
      </c>
      <c r="G122" s="496" t="str">
        <f>IF(('Pl 2014-17 PFC'!G122)=0,"",'Pl 2014-17 PFC'!G122)</f>
        <v/>
      </c>
      <c r="H122" s="496" t="str">
        <f>IF(('Pl 2014-17 PFC'!H122)=0,"",'Pl 2014-17 PFC'!H122)</f>
        <v/>
      </c>
      <c r="I122" s="496">
        <f>'Pl 2014-17 PFC'!J122</f>
        <v>0</v>
      </c>
      <c r="J122" s="496">
        <f>'Pl 2014-17 PFC'!K122</f>
        <v>0</v>
      </c>
    </row>
    <row r="123" spans="1:38" hidden="1" x14ac:dyDescent="0.25">
      <c r="A123" s="1049"/>
      <c r="B123" s="554" t="s">
        <v>162</v>
      </c>
      <c r="C123" s="521"/>
      <c r="D123" s="496">
        <f>IF(('Pl 2014-17 PFC'!D123)=0,"",'Pl 2014-17 PFC'!D123)</f>
        <v>3826</v>
      </c>
      <c r="E123" s="496">
        <f>IF(('Pl 2014-17 PFC'!E123)=0,"",'Pl 2014-17 PFC'!E123)</f>
        <v>5000</v>
      </c>
      <c r="F123" s="496">
        <f>IF(('Pl 2014-17 PFC'!F123)=0,"",'Pl 2014-17 PFC'!F123)</f>
        <v>5000</v>
      </c>
      <c r="G123" s="496">
        <f>IF(('Pl 2014-17 PFC'!G123)=0,"",'Pl 2014-17 PFC'!G123)</f>
        <v>5000</v>
      </c>
      <c r="H123" s="496">
        <f>IF(('Pl 2014-17 PFC'!H123)=0,"",'Pl 2014-17 PFC'!H123)</f>
        <v>5000</v>
      </c>
      <c r="I123" s="496">
        <f>'Pl 2014-17 PFC'!J123</f>
        <v>0</v>
      </c>
      <c r="J123" s="496">
        <f>'Pl 2014-17 PFC'!K123</f>
        <v>5000</v>
      </c>
    </row>
    <row r="124" spans="1:38" hidden="1" x14ac:dyDescent="0.25">
      <c r="A124" s="1049"/>
      <c r="B124" s="554" t="s">
        <v>403</v>
      </c>
      <c r="C124" s="521"/>
      <c r="D124" s="496" t="str">
        <f>IF(('Pl 2014-17 PFC'!D124)=0,"",'Pl 2014-17 PFC'!D124)</f>
        <v/>
      </c>
      <c r="E124" s="496" t="str">
        <f>IF(('Pl 2014-17 PFC'!E124)=0,"",'Pl 2014-17 PFC'!E124)</f>
        <v/>
      </c>
      <c r="F124" s="496" t="str">
        <f>IF(('Pl 2014-17 PFC'!F124)=0,"",'Pl 2014-17 PFC'!F124)</f>
        <v/>
      </c>
      <c r="G124" s="496" t="str">
        <f>IF(('Pl 2014-17 PFC'!G124)=0,"",'Pl 2014-17 PFC'!G124)</f>
        <v/>
      </c>
      <c r="H124" s="496" t="str">
        <f>IF(('Pl 2014-17 PFC'!H124)=0,"",'Pl 2014-17 PFC'!H124)</f>
        <v/>
      </c>
      <c r="I124" s="496">
        <f>'Pl 2014-17 PFC'!J124</f>
        <v>0</v>
      </c>
      <c r="J124" s="496">
        <f>'Pl 2014-17 PFC'!K124</f>
        <v>0</v>
      </c>
    </row>
    <row r="125" spans="1:38" hidden="1" x14ac:dyDescent="0.25">
      <c r="A125" s="1049"/>
      <c r="B125" s="554" t="s">
        <v>164</v>
      </c>
      <c r="C125" s="521"/>
      <c r="D125" s="496" t="str">
        <f>IF(('Pl 2014-17 PFC'!D126)=0,"",'Pl 2014-17 PFC'!D126)</f>
        <v/>
      </c>
      <c r="E125" s="496" t="str">
        <f>IF(('Pl 2014-17 PFC'!E126)=0,"",'Pl 2014-17 PFC'!E126)</f>
        <v/>
      </c>
      <c r="F125" s="496" t="str">
        <f>IF(('Pl 2014-17 PFC'!F126)=0,"",'Pl 2014-17 PFC'!F126)</f>
        <v/>
      </c>
      <c r="G125" s="496" t="str">
        <f>IF(('Pl 2014-17 PFC'!G126)=0,"",'Pl 2014-17 PFC'!G126)</f>
        <v/>
      </c>
      <c r="H125" s="496" t="str">
        <f>IF(('Pl 2014-17 PFC'!H126)=0,"",'Pl 2014-17 PFC'!H126)</f>
        <v/>
      </c>
      <c r="I125" s="496">
        <f>'Pl 2014-17 PFC'!J125</f>
        <v>0</v>
      </c>
      <c r="J125" s="496">
        <f>'Pl 2014-17 PFC'!K125</f>
        <v>0</v>
      </c>
    </row>
    <row r="126" spans="1:38" hidden="1" x14ac:dyDescent="0.25">
      <c r="A126" s="1049"/>
      <c r="B126" s="554" t="s">
        <v>404</v>
      </c>
      <c r="C126" s="521"/>
      <c r="D126" s="496" t="str">
        <f>IF(('Pl 2014-17 PFC'!D127)=0,"",'Pl 2014-17 PFC'!D127)</f>
        <v/>
      </c>
      <c r="E126" s="496" t="str">
        <f>IF(('Pl 2014-17 PFC'!E127)=0,"",'Pl 2014-17 PFC'!E127)</f>
        <v/>
      </c>
      <c r="F126" s="496" t="str">
        <f>IF(('Pl 2014-17 PFC'!F127)=0,"",'Pl 2014-17 PFC'!F127)</f>
        <v/>
      </c>
      <c r="G126" s="496" t="str">
        <f>IF(('Pl 2014-17 PFC'!G127)=0,"",'Pl 2014-17 PFC'!G127)</f>
        <v/>
      </c>
      <c r="H126" s="496" t="str">
        <f>IF(('Pl 2014-17 PFC'!H127)=0,"",'Pl 2014-17 PFC'!H127)</f>
        <v/>
      </c>
      <c r="I126" s="496">
        <f>'Pl 2014-17 PFC'!J126</f>
        <v>0</v>
      </c>
      <c r="J126" s="496">
        <f>'Pl 2014-17 PFC'!K126</f>
        <v>0</v>
      </c>
    </row>
    <row r="127" spans="1:38" hidden="1" x14ac:dyDescent="0.25">
      <c r="A127" s="1049"/>
      <c r="B127" s="554" t="s">
        <v>166</v>
      </c>
      <c r="C127" s="521"/>
      <c r="D127" s="496" t="str">
        <f>IF(('Pl 2014-17 PFC'!D127)=0,"",'Pl 2014-17 PFC'!D127)</f>
        <v/>
      </c>
      <c r="E127" s="496" t="str">
        <f>IF(('Pl 2014-17 PFC'!E127)=0,"",'Pl 2014-17 PFC'!E127)</f>
        <v/>
      </c>
      <c r="F127" s="496" t="str">
        <f>IF(('Pl 2014-17 PFC'!F127)=0,"",'Pl 2014-17 PFC'!F127)</f>
        <v/>
      </c>
      <c r="G127" s="496" t="str">
        <f>IF(('Pl 2014-17 PFC'!G127)=0,"",'Pl 2014-17 PFC'!G127)</f>
        <v/>
      </c>
      <c r="H127" s="496" t="str">
        <f>IF(('Pl 2014-17 PFC'!H127)=0,"",'Pl 2014-17 PFC'!H127)</f>
        <v/>
      </c>
      <c r="I127" s="496">
        <f>'Pl 2014-17 PFC'!J127</f>
        <v>0</v>
      </c>
      <c r="J127" s="496">
        <f>'Pl 2014-17 PFC'!K127</f>
        <v>0</v>
      </c>
    </row>
    <row r="128" spans="1:38" hidden="1" x14ac:dyDescent="0.25">
      <c r="A128" s="1049"/>
      <c r="B128" s="554" t="s">
        <v>167</v>
      </c>
      <c r="C128" s="521"/>
      <c r="D128" s="496" t="str">
        <f>IF(('Pl 2014-17 PFC'!D128)=0,"",'Pl 2014-17 PFC'!D128)</f>
        <v/>
      </c>
      <c r="E128" s="496" t="str">
        <f>IF(('Pl 2014-17 PFC'!E128)=0,"",'Pl 2014-17 PFC'!E128)</f>
        <v/>
      </c>
      <c r="F128" s="496" t="str">
        <f>IF(('Pl 2014-17 PFC'!F128)=0,"",'Pl 2014-17 PFC'!F128)</f>
        <v/>
      </c>
      <c r="G128" s="496" t="str">
        <f>IF(('Pl 2014-17 PFC'!G128)=0,"",'Pl 2014-17 PFC'!G128)</f>
        <v/>
      </c>
      <c r="H128" s="496" t="str">
        <f>IF(('Pl 2014-17 PFC'!H128)=0,"",'Pl 2014-17 PFC'!H128)</f>
        <v/>
      </c>
      <c r="I128" s="496">
        <f>'Pl 2014-17 PFC'!J128</f>
        <v>0</v>
      </c>
      <c r="J128" s="496">
        <f>'Pl 2014-17 PFC'!K128</f>
        <v>0</v>
      </c>
    </row>
    <row r="129" spans="1:38" hidden="1" x14ac:dyDescent="0.25">
      <c r="A129" s="1049"/>
      <c r="B129" s="554" t="s">
        <v>168</v>
      </c>
      <c r="C129" s="521"/>
      <c r="D129" s="496" t="str">
        <f>IF(('Pl 2014-17 PFC'!D129)=0,"",'Pl 2014-17 PFC'!D129)</f>
        <v/>
      </c>
      <c r="E129" s="496" t="str">
        <f>IF(('Pl 2014-17 PFC'!E129)=0,"",'Pl 2014-17 PFC'!E129)</f>
        <v/>
      </c>
      <c r="F129" s="496" t="str">
        <f>IF(('Pl 2014-17 PFC'!F129)=0,"",'Pl 2014-17 PFC'!F129)</f>
        <v/>
      </c>
      <c r="G129" s="496" t="str">
        <f>IF(('Pl 2014-17 PFC'!G129)=0,"",'Pl 2014-17 PFC'!G129)</f>
        <v/>
      </c>
      <c r="H129" s="496" t="str">
        <f>IF(('Pl 2014-17 PFC'!H129)=0,"",'Pl 2014-17 PFC'!H129)</f>
        <v/>
      </c>
      <c r="I129" s="496">
        <f>'Pl 2014-17 PFC'!J129</f>
        <v>0</v>
      </c>
      <c r="J129" s="496">
        <f>'Pl 2014-17 PFC'!K129</f>
        <v>0</v>
      </c>
    </row>
    <row r="130" spans="1:38" hidden="1" x14ac:dyDescent="0.25">
      <c r="A130" s="1049"/>
      <c r="B130" s="554" t="s">
        <v>169</v>
      </c>
      <c r="C130" s="521"/>
      <c r="D130" s="496" t="str">
        <f>IF(('Pl 2014-17 PFC'!D130)=0,"",'Pl 2014-17 PFC'!D130)</f>
        <v/>
      </c>
      <c r="E130" s="496" t="str">
        <f>IF(('Pl 2014-17 PFC'!E130)=0,"",'Pl 2014-17 PFC'!E130)</f>
        <v/>
      </c>
      <c r="F130" s="496" t="str">
        <f>IF(('Pl 2014-17 PFC'!F130)=0,"",'Pl 2014-17 PFC'!F130)</f>
        <v/>
      </c>
      <c r="G130" s="496" t="str">
        <f>IF(('Pl 2014-17 PFC'!G130)=0,"",'Pl 2014-17 PFC'!G130)</f>
        <v/>
      </c>
      <c r="H130" s="496" t="str">
        <f>IF(('Pl 2014-17 PFC'!H130)=0,"",'Pl 2014-17 PFC'!H130)</f>
        <v/>
      </c>
      <c r="I130" s="496">
        <f>'Pl 2014-17 PFC'!J130</f>
        <v>0</v>
      </c>
      <c r="J130" s="496">
        <f>'Pl 2014-17 PFC'!K130</f>
        <v>0</v>
      </c>
    </row>
    <row r="131" spans="1:38" hidden="1" x14ac:dyDescent="0.25">
      <c r="A131" s="1049"/>
      <c r="B131" s="554" t="s">
        <v>170</v>
      </c>
      <c r="C131" s="521"/>
      <c r="D131" s="496" t="str">
        <f>IF(('Pl 2014-17 PFC'!D131)=0,"",'Pl 2014-17 PFC'!D131)</f>
        <v/>
      </c>
      <c r="E131" s="496" t="str">
        <f>IF(('Pl 2014-17 PFC'!E131)=0,"",'Pl 2014-17 PFC'!E131)</f>
        <v/>
      </c>
      <c r="F131" s="496" t="str">
        <f>IF(('Pl 2014-17 PFC'!F131)=0,"",'Pl 2014-17 PFC'!F131)</f>
        <v/>
      </c>
      <c r="G131" s="496" t="str">
        <f>IF(('Pl 2014-17 PFC'!G131)=0,"",'Pl 2014-17 PFC'!G131)</f>
        <v/>
      </c>
      <c r="H131" s="496" t="str">
        <f>IF(('Pl 2014-17 PFC'!H131)=0,"",'Pl 2014-17 PFC'!H131)</f>
        <v/>
      </c>
      <c r="I131" s="496">
        <f>'Pl 2014-17 PFC'!J131</f>
        <v>0</v>
      </c>
      <c r="J131" s="496">
        <f>'Pl 2014-17 PFC'!K131</f>
        <v>0</v>
      </c>
    </row>
    <row r="132" spans="1:38" hidden="1" x14ac:dyDescent="0.25">
      <c r="A132" s="1049"/>
      <c r="B132" s="554" t="s">
        <v>171</v>
      </c>
      <c r="C132" s="521"/>
      <c r="D132" s="496" t="str">
        <f>IF(('Pl 2014-17 PFC'!D132)=0,"",'Pl 2014-17 PFC'!D132)</f>
        <v/>
      </c>
      <c r="E132" s="496" t="str">
        <f>IF(('Pl 2014-17 PFC'!E132)=0,"",'Pl 2014-17 PFC'!E132)</f>
        <v/>
      </c>
      <c r="F132" s="496" t="str">
        <f>IF(('Pl 2014-17 PFC'!F132)=0,"",'Pl 2014-17 PFC'!F132)</f>
        <v/>
      </c>
      <c r="G132" s="496" t="str">
        <f>IF(('Pl 2014-17 PFC'!G132)=0,"",'Pl 2014-17 PFC'!G132)</f>
        <v/>
      </c>
      <c r="H132" s="496" t="str">
        <f>IF(('Pl 2014-17 PFC'!H132)=0,"",'Pl 2014-17 PFC'!H132)</f>
        <v/>
      </c>
      <c r="I132" s="496">
        <f>'Pl 2014-17 PFC'!J132</f>
        <v>0</v>
      </c>
      <c r="J132" s="496">
        <f>'Pl 2014-17 PFC'!K132</f>
        <v>0</v>
      </c>
    </row>
    <row r="133" spans="1:38" hidden="1" x14ac:dyDescent="0.25">
      <c r="A133" s="1049"/>
      <c r="B133" s="554" t="s">
        <v>172</v>
      </c>
      <c r="C133" s="521"/>
      <c r="D133" s="496" t="str">
        <f>IF(('Pl 2014-17 PFC'!D133)=0,"",'Pl 2014-17 PFC'!D133)</f>
        <v/>
      </c>
      <c r="E133" s="496" t="str">
        <f>IF(('Pl 2014-17 PFC'!E133)=0,"",'Pl 2014-17 PFC'!E133)</f>
        <v/>
      </c>
      <c r="F133" s="496" t="str">
        <f>IF(('Pl 2014-17 PFC'!F133)=0,"",'Pl 2014-17 PFC'!F133)</f>
        <v/>
      </c>
      <c r="G133" s="496" t="str">
        <f>IF(('Pl 2014-17 PFC'!G133)=0,"",'Pl 2014-17 PFC'!G133)</f>
        <v/>
      </c>
      <c r="H133" s="496" t="str">
        <f>IF(('Pl 2014-17 PFC'!H133)=0,"",'Pl 2014-17 PFC'!H133)</f>
        <v/>
      </c>
      <c r="I133" s="496">
        <f>'Pl 2014-17 PFC'!J133</f>
        <v>0</v>
      </c>
      <c r="J133" s="496">
        <f>'Pl 2014-17 PFC'!K133</f>
        <v>0</v>
      </c>
    </row>
    <row r="134" spans="1:38" hidden="1" x14ac:dyDescent="0.25">
      <c r="A134" s="1049"/>
      <c r="B134" s="554" t="s">
        <v>173</v>
      </c>
      <c r="C134" s="521"/>
      <c r="D134" s="496" t="str">
        <f>IF(('Pl 2014-17 PFC'!D134)=0,"",'Pl 2014-17 PFC'!D134)</f>
        <v/>
      </c>
      <c r="E134" s="496" t="str">
        <f>IF(('Pl 2014-17 PFC'!E134)=0,"",'Pl 2014-17 PFC'!E134)</f>
        <v/>
      </c>
      <c r="F134" s="496" t="str">
        <f>IF(('Pl 2014-17 PFC'!F134)=0,"",'Pl 2014-17 PFC'!F134)</f>
        <v/>
      </c>
      <c r="G134" s="496" t="str">
        <f>IF(('Pl 2014-17 PFC'!G134)=0,"",'Pl 2014-17 PFC'!G134)</f>
        <v/>
      </c>
      <c r="H134" s="496" t="str">
        <f>IF(('Pl 2014-17 PFC'!H134)=0,"",'Pl 2014-17 PFC'!H134)</f>
        <v/>
      </c>
      <c r="I134" s="496">
        <f>'Pl 2014-17 PFC'!J134</f>
        <v>0</v>
      </c>
      <c r="J134" s="496">
        <f>'Pl 2014-17 PFC'!K134</f>
        <v>0</v>
      </c>
    </row>
    <row r="135" spans="1:38" hidden="1" x14ac:dyDescent="0.25">
      <c r="A135" s="1049"/>
      <c r="B135" s="554" t="s">
        <v>174</v>
      </c>
      <c r="C135" s="521"/>
      <c r="D135" s="496" t="str">
        <f>IF(('Pl 2014-17 PFC'!D135)=0,"",'Pl 2014-17 PFC'!D135)</f>
        <v/>
      </c>
      <c r="E135" s="496" t="str">
        <f>IF(('Pl 2014-17 PFC'!E135)=0,"",'Pl 2014-17 PFC'!E135)</f>
        <v/>
      </c>
      <c r="F135" s="496" t="str">
        <f>IF(('Pl 2014-17 PFC'!F135)=0,"",'Pl 2014-17 PFC'!F135)</f>
        <v/>
      </c>
      <c r="G135" s="496" t="str">
        <f>IF(('Pl 2014-17 PFC'!G135)=0,"",'Pl 2014-17 PFC'!G135)</f>
        <v/>
      </c>
      <c r="H135" s="496" t="str">
        <f>IF(('Pl 2014-17 PFC'!H135)=0,"",'Pl 2014-17 PFC'!H135)</f>
        <v/>
      </c>
      <c r="I135" s="496">
        <f>'Pl 2014-17 PFC'!J135</f>
        <v>0</v>
      </c>
      <c r="J135" s="496">
        <f>'Pl 2014-17 PFC'!K135</f>
        <v>0</v>
      </c>
    </row>
    <row r="136" spans="1:38" hidden="1" x14ac:dyDescent="0.25">
      <c r="A136" s="1049"/>
      <c r="B136" s="554" t="s">
        <v>175</v>
      </c>
      <c r="C136" s="521"/>
      <c r="D136" s="496" t="str">
        <f>IF(('Pl 2014-17 PFC'!D136)=0,"",'Pl 2014-17 PFC'!D136)</f>
        <v/>
      </c>
      <c r="E136" s="496" t="str">
        <f>IF(('Pl 2014-17 PFC'!E136)=0,"",'Pl 2014-17 PFC'!E136)</f>
        <v/>
      </c>
      <c r="F136" s="496" t="str">
        <f>IF(('Pl 2014-17 PFC'!F136)=0,"",'Pl 2014-17 PFC'!F136)</f>
        <v/>
      </c>
      <c r="G136" s="496" t="str">
        <f>IF(('Pl 2014-17 PFC'!G136)=0,"",'Pl 2014-17 PFC'!G136)</f>
        <v/>
      </c>
      <c r="H136" s="496" t="str">
        <f>IF(('Pl 2014-17 PFC'!H136)=0,"",'Pl 2014-17 PFC'!H136)</f>
        <v/>
      </c>
      <c r="I136" s="496">
        <f>'Pl 2014-17 PFC'!J136</f>
        <v>0</v>
      </c>
      <c r="J136" s="496">
        <f>'Pl 2014-17 PFC'!K136</f>
        <v>0</v>
      </c>
    </row>
    <row r="137" spans="1:38" hidden="1" x14ac:dyDescent="0.25">
      <c r="A137" s="1049"/>
      <c r="B137" s="554" t="s">
        <v>176</v>
      </c>
      <c r="C137" s="521"/>
      <c r="D137" s="496">
        <f>IF(('Pl 2014-17 PFC'!D137)=0,"",'Pl 2014-17 PFC'!D137)</f>
        <v>360</v>
      </c>
      <c r="E137" s="496">
        <f>IF(('Pl 2014-17 PFC'!E137)=0,"",'Pl 2014-17 PFC'!E137)</f>
        <v>1197</v>
      </c>
      <c r="F137" s="496">
        <f>IF(('Pl 2014-17 PFC'!F137)=0,"",'Pl 2014-17 PFC'!F137)</f>
        <v>397</v>
      </c>
      <c r="G137" s="496">
        <f>IF(('Pl 2014-17 PFC'!G137)=0,"",'Pl 2014-17 PFC'!G137)</f>
        <v>397</v>
      </c>
      <c r="H137" s="496">
        <f>IF(('Pl 2014-17 PFC'!H137)=0,"",'Pl 2014-17 PFC'!H137)</f>
        <v>397</v>
      </c>
      <c r="I137" s="496">
        <f>'Pl 2014-17 PFC'!J137</f>
        <v>0</v>
      </c>
      <c r="J137" s="496">
        <f>'Pl 2014-17 PFC'!K137</f>
        <v>1197</v>
      </c>
    </row>
    <row r="138" spans="1:38" hidden="1" x14ac:dyDescent="0.25">
      <c r="A138" s="1049"/>
      <c r="B138" s="554" t="s">
        <v>177</v>
      </c>
      <c r="C138" s="521"/>
      <c r="D138" s="496">
        <f>IF(('Pl 2014-17 PFC'!D138)=0,"",'Pl 2014-17 PFC'!D138)</f>
        <v>69614</v>
      </c>
      <c r="E138" s="496">
        <f>IF(('Pl 2014-17 PFC'!E138)=0,"",'Pl 2014-17 PFC'!E138)</f>
        <v>75480</v>
      </c>
      <c r="F138" s="496">
        <f>IF(('Pl 2014-17 PFC'!F138)=0,"",'Pl 2014-17 PFC'!F138)</f>
        <v>167000</v>
      </c>
      <c r="G138" s="496">
        <f>IF(('Pl 2014-17 PFC'!G138)=0,"",'Pl 2014-17 PFC'!G138)</f>
        <v>174700</v>
      </c>
      <c r="H138" s="496">
        <f>IF(('Pl 2014-17 PFC'!H138)=0,"",'Pl 2014-17 PFC'!H138)</f>
        <v>183170</v>
      </c>
      <c r="I138" s="496">
        <f>'Pl 2014-17 PFC'!J138</f>
        <v>0</v>
      </c>
      <c r="J138" s="496">
        <f>'Pl 2014-17 PFC'!K138</f>
        <v>75480</v>
      </c>
    </row>
    <row r="139" spans="1:38" hidden="1" x14ac:dyDescent="0.25">
      <c r="A139" s="1049"/>
      <c r="B139" s="554" t="s">
        <v>405</v>
      </c>
      <c r="C139" s="521"/>
      <c r="D139" s="496" t="str">
        <f>IF(('Pl 2014-17 PFC'!D139)=0,"",'Pl 2014-17 PFC'!D139)</f>
        <v/>
      </c>
      <c r="E139" s="496" t="str">
        <f>IF(('Pl 2014-17 PFC'!E139)=0,"",'Pl 2014-17 PFC'!E139)</f>
        <v/>
      </c>
      <c r="F139" s="496" t="str">
        <f>IF(('Pl 2014-17 PFC'!F139)=0,"",'Pl 2014-17 PFC'!F139)</f>
        <v/>
      </c>
      <c r="G139" s="496" t="str">
        <f>IF(('Pl 2014-17 PFC'!G139)=0,"",'Pl 2014-17 PFC'!G139)</f>
        <v/>
      </c>
      <c r="H139" s="496" t="str">
        <f>IF(('Pl 2014-17 PFC'!H139)=0,"",'Pl 2014-17 PFC'!H139)</f>
        <v/>
      </c>
      <c r="I139" s="496">
        <f>'Pl 2014-17 PFC'!J139</f>
        <v>0</v>
      </c>
      <c r="J139" s="496">
        <f>'Pl 2014-17 PFC'!K139</f>
        <v>0</v>
      </c>
    </row>
    <row r="140" spans="1:38" hidden="1" x14ac:dyDescent="0.25">
      <c r="A140" s="1049"/>
      <c r="B140" s="554" t="s">
        <v>179</v>
      </c>
      <c r="C140" s="521"/>
      <c r="D140" s="496" t="str">
        <f>IF(('Pl 2014-17 PFC'!D140)=0,"",'Pl 2014-17 PFC'!D140)</f>
        <v/>
      </c>
      <c r="E140" s="496" t="str">
        <f>IF(('Pl 2014-17 PFC'!E140)=0,"",'Pl 2014-17 PFC'!E140)</f>
        <v/>
      </c>
      <c r="F140" s="496">
        <f>IF(('Pl 2014-17 PFC'!F140)=0,"",'Pl 2014-17 PFC'!F140)</f>
        <v>5200</v>
      </c>
      <c r="G140" s="496">
        <f>IF(('Pl 2014-17 PFC'!G140)=0,"",'Pl 2014-17 PFC'!G140)</f>
        <v>5200</v>
      </c>
      <c r="H140" s="496">
        <f>IF(('Pl 2014-17 PFC'!H140)=0,"",'Pl 2014-17 PFC'!H140)</f>
        <v>5200</v>
      </c>
      <c r="I140" s="496">
        <f>'Pl 2014-17 PFC'!J140</f>
        <v>0</v>
      </c>
      <c r="J140" s="496">
        <f>'Pl 2014-17 PFC'!K140</f>
        <v>0</v>
      </c>
    </row>
    <row r="141" spans="1:38" hidden="1" x14ac:dyDescent="0.25">
      <c r="A141" s="1049"/>
      <c r="B141" s="554"/>
      <c r="C141" s="521"/>
      <c r="D141" s="496"/>
      <c r="E141" s="496"/>
      <c r="F141" s="496"/>
      <c r="G141" s="496"/>
      <c r="H141" s="496"/>
      <c r="I141" s="496">
        <f>'Pl 2014-17 PFC'!J141</f>
        <v>0</v>
      </c>
      <c r="J141" s="496">
        <f>'Pl 2014-17 PFC'!K141</f>
        <v>0</v>
      </c>
    </row>
    <row r="142" spans="1:38" s="491" customFormat="1" x14ac:dyDescent="0.25">
      <c r="A142" s="1049" t="s">
        <v>22</v>
      </c>
      <c r="B142" s="554" t="s">
        <v>406</v>
      </c>
      <c r="C142" s="521" t="s">
        <v>87</v>
      </c>
      <c r="D142" s="496">
        <f>SUM(D143:D144)</f>
        <v>3383959</v>
      </c>
      <c r="E142" s="496">
        <f>SUM(E143:E144)</f>
        <v>3405649</v>
      </c>
      <c r="F142" s="496">
        <f>SUM(F143:F144)</f>
        <v>3203428</v>
      </c>
      <c r="G142" s="496">
        <f>SUM(G143:G144)</f>
        <v>3238766</v>
      </c>
      <c r="H142" s="496">
        <f>SUM(H143:H144)</f>
        <v>3274441</v>
      </c>
      <c r="I142" s="496">
        <f>'Pl 2014-17 PFC'!J142</f>
        <v>0</v>
      </c>
      <c r="J142" s="496">
        <f>'Pl 2014-17 PFC'!K142</f>
        <v>3405649</v>
      </c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488"/>
      <c r="AD142" s="488"/>
      <c r="AE142" s="488"/>
      <c r="AF142" s="488"/>
      <c r="AG142" s="488"/>
      <c r="AH142" s="488"/>
      <c r="AI142" s="488"/>
      <c r="AJ142" s="488"/>
      <c r="AK142" s="490"/>
      <c r="AL142" s="490"/>
    </row>
    <row r="143" spans="1:38" s="490" customFormat="1" x14ac:dyDescent="0.25">
      <c r="A143" s="1049" t="s">
        <v>181</v>
      </c>
      <c r="B143" s="554" t="s">
        <v>395</v>
      </c>
      <c r="C143" s="521" t="s">
        <v>182</v>
      </c>
      <c r="D143" s="496">
        <f>SUM(D151,D152,D153,D154,D155,D157,D145,D156,D150)</f>
        <v>3383959</v>
      </c>
      <c r="E143" s="496">
        <f>SUM(E151,E152,E153,E154,E155,E157,E145,E156,E150)</f>
        <v>3405649</v>
      </c>
      <c r="F143" s="496">
        <f>SUM(F151,F152,F153,F154,F155,F157,F145,F156,F150)</f>
        <v>3203428</v>
      </c>
      <c r="G143" s="496">
        <f>SUM(G151,G152,G153,G154,G155,G157,G145,G156,G150)</f>
        <v>3238766</v>
      </c>
      <c r="H143" s="496">
        <f>SUM(H151,H152,H153,H154,H155,H157,H145,H156,H150)</f>
        <v>3274441</v>
      </c>
      <c r="I143" s="496">
        <f>'Pl 2014-17 PFC'!J143</f>
        <v>0</v>
      </c>
      <c r="J143" s="496">
        <f>'Pl 2014-17 PFC'!K143</f>
        <v>3405649</v>
      </c>
      <c r="K143" s="488"/>
      <c r="L143" s="488"/>
      <c r="M143" s="488"/>
      <c r="N143" s="488"/>
      <c r="O143" s="488"/>
      <c r="P143" s="488"/>
      <c r="Q143" s="488"/>
      <c r="R143" s="488"/>
      <c r="S143" s="488"/>
      <c r="T143" s="488"/>
      <c r="U143" s="488"/>
      <c r="V143" s="488"/>
      <c r="W143" s="488"/>
      <c r="X143" s="488"/>
      <c r="Y143" s="488"/>
      <c r="Z143" s="488"/>
      <c r="AA143" s="488"/>
      <c r="AB143" s="488"/>
      <c r="AC143" s="488"/>
      <c r="AD143" s="488"/>
      <c r="AE143" s="488"/>
      <c r="AF143" s="488"/>
      <c r="AG143" s="488"/>
      <c r="AH143" s="488"/>
      <c r="AI143" s="488"/>
      <c r="AJ143" s="488"/>
    </row>
    <row r="144" spans="1:38" s="490" customFormat="1" hidden="1" x14ac:dyDescent="0.25">
      <c r="A144" s="1049" t="s">
        <v>183</v>
      </c>
      <c r="B144" s="556" t="s">
        <v>153</v>
      </c>
      <c r="C144" s="521" t="s">
        <v>184</v>
      </c>
      <c r="D144" s="496">
        <f>SUM(D149)</f>
        <v>0</v>
      </c>
      <c r="E144" s="496">
        <f>SUM(E149)</f>
        <v>0</v>
      </c>
      <c r="F144" s="496">
        <f>SUM(F149)</f>
        <v>0</v>
      </c>
      <c r="G144" s="496">
        <f>SUM(G149)</f>
        <v>0</v>
      </c>
      <c r="H144" s="496">
        <f>SUM(H149)</f>
        <v>0</v>
      </c>
      <c r="I144" s="496">
        <f>'Pl 2014-17 PFC'!J144</f>
        <v>0</v>
      </c>
      <c r="J144" s="496">
        <f>'Pl 2014-17 PFC'!K144</f>
        <v>0</v>
      </c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  <c r="V144" s="488"/>
      <c r="W144" s="488"/>
      <c r="X144" s="488"/>
      <c r="Y144" s="488"/>
      <c r="Z144" s="488"/>
      <c r="AA144" s="488"/>
      <c r="AB144" s="488"/>
      <c r="AC144" s="488"/>
      <c r="AD144" s="488"/>
      <c r="AE144" s="488"/>
      <c r="AF144" s="488"/>
      <c r="AG144" s="488"/>
      <c r="AH144" s="488"/>
      <c r="AI144" s="488"/>
      <c r="AJ144" s="488"/>
    </row>
    <row r="145" spans="1:36" s="490" customFormat="1" hidden="1" x14ac:dyDescent="0.25">
      <c r="A145" s="1049"/>
      <c r="B145" s="544" t="s">
        <v>407</v>
      </c>
      <c r="C145" s="521" t="s">
        <v>182</v>
      </c>
      <c r="D145" s="496">
        <f>SUM(D146:D148)</f>
        <v>74676</v>
      </c>
      <c r="E145" s="496">
        <f>SUM(E146:E148)</f>
        <v>84294</v>
      </c>
      <c r="F145" s="496">
        <f>SUM(F146:F148)</f>
        <v>89318</v>
      </c>
      <c r="G145" s="496">
        <f>SUM(G146:G148)</f>
        <v>94656</v>
      </c>
      <c r="H145" s="496">
        <f>SUM(H146:H148)</f>
        <v>100331</v>
      </c>
      <c r="I145" s="496">
        <f>'Pl 2014-17 PFC'!J145</f>
        <v>0</v>
      </c>
      <c r="J145" s="496">
        <f>'Pl 2014-17 PFC'!K145</f>
        <v>84294</v>
      </c>
      <c r="K145" s="488"/>
      <c r="L145" s="488"/>
      <c r="M145" s="488"/>
      <c r="N145" s="488"/>
      <c r="O145" s="488"/>
      <c r="P145" s="488"/>
      <c r="Q145" s="488"/>
      <c r="R145" s="488"/>
      <c r="S145" s="488"/>
      <c r="T145" s="488"/>
      <c r="U145" s="488"/>
      <c r="V145" s="488"/>
      <c r="W145" s="488"/>
      <c r="X145" s="488"/>
      <c r="Y145" s="488"/>
      <c r="Z145" s="488"/>
      <c r="AA145" s="488"/>
      <c r="AB145" s="488"/>
      <c r="AC145" s="488"/>
      <c r="AD145" s="488"/>
      <c r="AE145" s="488"/>
      <c r="AF145" s="488"/>
      <c r="AG145" s="488"/>
      <c r="AH145" s="488"/>
      <c r="AI145" s="488"/>
      <c r="AJ145" s="488"/>
    </row>
    <row r="146" spans="1:36" s="490" customFormat="1" hidden="1" x14ac:dyDescent="0.25">
      <c r="A146" s="1049"/>
      <c r="B146" s="557" t="s">
        <v>186</v>
      </c>
      <c r="C146" s="521" t="s">
        <v>182</v>
      </c>
      <c r="D146" s="496">
        <f>'Pl 2014-17 PFC'!D146</f>
        <v>50</v>
      </c>
      <c r="E146" s="496">
        <f>'Pl 2014-17 PFC'!E146</f>
        <v>50</v>
      </c>
      <c r="F146" s="496">
        <f>'Pl 2014-17 PFC'!F146</f>
        <v>50</v>
      </c>
      <c r="G146" s="496">
        <f>'Pl 2014-17 PFC'!G146</f>
        <v>50</v>
      </c>
      <c r="H146" s="496">
        <f>'Pl 2014-17 PFC'!H146</f>
        <v>50</v>
      </c>
      <c r="I146" s="496">
        <f>'Pl 2014-17 PFC'!J146</f>
        <v>0</v>
      </c>
      <c r="J146" s="496">
        <f>'Pl 2014-17 PFC'!K146</f>
        <v>50</v>
      </c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  <c r="V146" s="488"/>
      <c r="W146" s="488"/>
      <c r="X146" s="488"/>
      <c r="Y146" s="488"/>
      <c r="Z146" s="488"/>
      <c r="AA146" s="488"/>
      <c r="AB146" s="488"/>
      <c r="AC146" s="488"/>
      <c r="AD146" s="488"/>
      <c r="AE146" s="488"/>
      <c r="AF146" s="488"/>
      <c r="AG146" s="488"/>
      <c r="AH146" s="488"/>
      <c r="AI146" s="488"/>
      <c r="AJ146" s="488"/>
    </row>
    <row r="147" spans="1:36" s="490" customFormat="1" hidden="1" x14ac:dyDescent="0.25">
      <c r="A147" s="1049"/>
      <c r="B147" s="557" t="s">
        <v>187</v>
      </c>
      <c r="C147" s="521" t="s">
        <v>182</v>
      </c>
      <c r="D147" s="496">
        <f>'Pl 2014-17 PFC'!D147</f>
        <v>70847</v>
      </c>
      <c r="E147" s="496">
        <f>'Pl 2014-17 PFC'!E147</f>
        <v>79925</v>
      </c>
      <c r="F147" s="496">
        <f>'Pl 2014-17 PFC'!F147</f>
        <v>84163</v>
      </c>
      <c r="G147" s="496">
        <f>'Pl 2014-17 PFC'!G147</f>
        <v>88625</v>
      </c>
      <c r="H147" s="496">
        <f>'Pl 2014-17 PFC'!H147</f>
        <v>93324</v>
      </c>
      <c r="I147" s="496">
        <f>'Pl 2014-17 PFC'!J147</f>
        <v>0</v>
      </c>
      <c r="J147" s="496">
        <f>'Pl 2014-17 PFC'!K147</f>
        <v>79925</v>
      </c>
      <c r="K147" s="488"/>
      <c r="L147" s="488"/>
      <c r="M147" s="488"/>
      <c r="N147" s="488"/>
      <c r="O147" s="488"/>
      <c r="P147" s="488"/>
      <c r="Q147" s="488"/>
      <c r="R147" s="488"/>
      <c r="S147" s="488"/>
      <c r="T147" s="488"/>
      <c r="U147" s="488"/>
      <c r="V147" s="488"/>
      <c r="W147" s="488"/>
      <c r="X147" s="488"/>
      <c r="Y147" s="488"/>
      <c r="Z147" s="488"/>
      <c r="AA147" s="488"/>
      <c r="AB147" s="488"/>
      <c r="AC147" s="488"/>
      <c r="AD147" s="488"/>
      <c r="AE147" s="488"/>
      <c r="AF147" s="488"/>
      <c r="AG147" s="488"/>
      <c r="AH147" s="488"/>
      <c r="AI147" s="488"/>
      <c r="AJ147" s="488"/>
    </row>
    <row r="148" spans="1:36" s="490" customFormat="1" hidden="1" x14ac:dyDescent="0.25">
      <c r="A148" s="1049"/>
      <c r="B148" s="557" t="s">
        <v>188</v>
      </c>
      <c r="C148" s="521" t="s">
        <v>182</v>
      </c>
      <c r="D148" s="496">
        <f>'Pl 2014-17 PFC'!D148</f>
        <v>3779</v>
      </c>
      <c r="E148" s="496">
        <f>'Pl 2014-17 PFC'!E148</f>
        <v>4319</v>
      </c>
      <c r="F148" s="496">
        <f>'Pl 2014-17 PFC'!F148</f>
        <v>5105</v>
      </c>
      <c r="G148" s="496">
        <f>'Pl 2014-17 PFC'!G148</f>
        <v>5981</v>
      </c>
      <c r="H148" s="496">
        <f>'Pl 2014-17 PFC'!H148</f>
        <v>6957</v>
      </c>
      <c r="I148" s="496">
        <f>'Pl 2014-17 PFC'!J148</f>
        <v>0</v>
      </c>
      <c r="J148" s="496">
        <f>'Pl 2014-17 PFC'!K148</f>
        <v>4319</v>
      </c>
      <c r="K148" s="488"/>
      <c r="L148" s="488"/>
      <c r="M148" s="488"/>
      <c r="N148" s="488"/>
      <c r="O148" s="488"/>
      <c r="P148" s="488"/>
      <c r="Q148" s="488"/>
      <c r="R148" s="488"/>
      <c r="S148" s="488"/>
      <c r="T148" s="488"/>
      <c r="U148" s="488"/>
      <c r="V148" s="488"/>
      <c r="W148" s="488"/>
      <c r="X148" s="488"/>
      <c r="Y148" s="488"/>
      <c r="Z148" s="488"/>
      <c r="AA148" s="488"/>
      <c r="AB148" s="488"/>
      <c r="AC148" s="488"/>
      <c r="AD148" s="488"/>
      <c r="AE148" s="488"/>
      <c r="AF148" s="488"/>
      <c r="AG148" s="488"/>
      <c r="AH148" s="488"/>
      <c r="AI148" s="488"/>
      <c r="AJ148" s="488"/>
    </row>
    <row r="149" spans="1:36" s="490" customFormat="1" hidden="1" x14ac:dyDescent="0.25">
      <c r="A149" s="1049"/>
      <c r="B149" s="544" t="s">
        <v>397</v>
      </c>
      <c r="C149" s="521" t="s">
        <v>184</v>
      </c>
      <c r="D149" s="496">
        <f>'Pl 2014-17 PFC'!D149</f>
        <v>0</v>
      </c>
      <c r="E149" s="496">
        <f>'Pl 2014-17 PFC'!E149</f>
        <v>0</v>
      </c>
      <c r="F149" s="496">
        <f>'Pl 2014-17 PFC'!F149</f>
        <v>0</v>
      </c>
      <c r="G149" s="496">
        <f>'Pl 2014-17 PFC'!G149</f>
        <v>0</v>
      </c>
      <c r="H149" s="496">
        <f>'Pl 2014-17 PFC'!H149</f>
        <v>0</v>
      </c>
      <c r="I149" s="496">
        <f>'Pl 2014-17 PFC'!J149</f>
        <v>0</v>
      </c>
      <c r="J149" s="496">
        <f>'Pl 2014-17 PFC'!K149</f>
        <v>0</v>
      </c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  <c r="Z149" s="488"/>
      <c r="AA149" s="488"/>
      <c r="AB149" s="488"/>
      <c r="AC149" s="488"/>
      <c r="AD149" s="488"/>
      <c r="AE149" s="488"/>
      <c r="AF149" s="488"/>
      <c r="AG149" s="488"/>
      <c r="AH149" s="488"/>
      <c r="AI149" s="488"/>
      <c r="AJ149" s="488"/>
    </row>
    <row r="150" spans="1:36" s="490" customFormat="1" hidden="1" x14ac:dyDescent="0.25">
      <c r="A150" s="1049"/>
      <c r="B150" s="544" t="s">
        <v>398</v>
      </c>
      <c r="C150" s="521"/>
      <c r="D150" s="496">
        <f>'Pl 2014-17 PFC'!D150</f>
        <v>500</v>
      </c>
      <c r="E150" s="496">
        <f>'Pl 2014-17 PFC'!E150</f>
        <v>145</v>
      </c>
      <c r="F150" s="496">
        <f>'Pl 2014-17 PFC'!F150</f>
        <v>2400</v>
      </c>
      <c r="G150" s="496">
        <f>'Pl 2014-17 PFC'!G150</f>
        <v>2400</v>
      </c>
      <c r="H150" s="496">
        <f>'Pl 2014-17 PFC'!H150</f>
        <v>2400</v>
      </c>
      <c r="I150" s="496">
        <f>'Pl 2014-17 PFC'!J150</f>
        <v>0</v>
      </c>
      <c r="J150" s="496">
        <f>'Pl 2014-17 PFC'!K150</f>
        <v>145</v>
      </c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88"/>
      <c r="AE150" s="488"/>
      <c r="AF150" s="488"/>
      <c r="AG150" s="488"/>
      <c r="AH150" s="488"/>
      <c r="AI150" s="488"/>
      <c r="AJ150" s="488"/>
    </row>
    <row r="151" spans="1:36" s="490" customFormat="1" hidden="1" x14ac:dyDescent="0.25">
      <c r="A151" s="1049"/>
      <c r="B151" s="558" t="s">
        <v>408</v>
      </c>
      <c r="C151" s="521"/>
      <c r="D151" s="496">
        <f>'Pl 2014-17 PFC'!D151</f>
        <v>4200</v>
      </c>
      <c r="E151" s="496">
        <f>'Pl 2014-17 PFC'!E151</f>
        <v>5500</v>
      </c>
      <c r="F151" s="496">
        <f>'Pl 2014-17 PFC'!F151</f>
        <v>5500</v>
      </c>
      <c r="G151" s="496">
        <f>'Pl 2014-17 PFC'!G151</f>
        <v>5500</v>
      </c>
      <c r="H151" s="496">
        <f>'Pl 2014-17 PFC'!H151</f>
        <v>5500</v>
      </c>
      <c r="I151" s="496">
        <f>'Pl 2014-17 PFC'!J151</f>
        <v>0</v>
      </c>
      <c r="J151" s="496">
        <f>'Pl 2014-17 PFC'!K151</f>
        <v>5500</v>
      </c>
      <c r="K151" s="488"/>
      <c r="L151" s="488"/>
      <c r="M151" s="488"/>
      <c r="N151" s="488"/>
      <c r="O151" s="488"/>
      <c r="P151" s="488"/>
      <c r="Q151" s="488"/>
      <c r="R151" s="488"/>
      <c r="S151" s="488"/>
      <c r="T151" s="488"/>
      <c r="U151" s="488"/>
      <c r="V151" s="488"/>
      <c r="W151" s="488"/>
      <c r="X151" s="488"/>
      <c r="Y151" s="488"/>
      <c r="Z151" s="488"/>
      <c r="AA151" s="488"/>
      <c r="AB151" s="488"/>
      <c r="AC151" s="488"/>
      <c r="AD151" s="488"/>
      <c r="AE151" s="488"/>
      <c r="AF151" s="488"/>
      <c r="AG151" s="488"/>
      <c r="AH151" s="488"/>
      <c r="AI151" s="488"/>
      <c r="AJ151" s="488"/>
    </row>
    <row r="152" spans="1:36" s="490" customFormat="1" ht="30" hidden="1" x14ac:dyDescent="0.25">
      <c r="A152" s="1049"/>
      <c r="B152" s="558" t="s">
        <v>409</v>
      </c>
      <c r="C152" s="521"/>
      <c r="D152" s="496">
        <f>IF(('Pl 2014-17 PFC'!D152)=0,"",'Pl 2014-17 PFC'!D152)</f>
        <v>6041</v>
      </c>
      <c r="E152" s="496">
        <f>IF(('Pl 2014-17 PFC'!E152)=0,"",'Pl 2014-17 PFC'!E152)</f>
        <v>5500</v>
      </c>
      <c r="F152" s="496">
        <f>IF(('Pl 2014-17 PFC'!F152)=0,"",'Pl 2014-17 PFC'!F152)</f>
        <v>13000</v>
      </c>
      <c r="G152" s="496">
        <f>IF(('Pl 2014-17 PFC'!G152)=0,"",'Pl 2014-17 PFC'!G152)</f>
        <v>13000</v>
      </c>
      <c r="H152" s="496">
        <f>IF(('Pl 2014-17 PFC'!H152)=0,"",'Pl 2014-17 PFC'!H152)</f>
        <v>13000</v>
      </c>
      <c r="I152" s="496">
        <f>'Pl 2014-17 PFC'!J152</f>
        <v>0</v>
      </c>
      <c r="J152" s="496">
        <f>'Pl 2014-17 PFC'!K152</f>
        <v>5500</v>
      </c>
      <c r="K152" s="488"/>
      <c r="L152" s="488"/>
      <c r="M152" s="488"/>
      <c r="N152" s="488"/>
      <c r="O152" s="488"/>
      <c r="P152" s="488"/>
      <c r="Q152" s="488"/>
      <c r="R152" s="488"/>
      <c r="S152" s="488"/>
      <c r="T152" s="488"/>
      <c r="U152" s="488"/>
      <c r="V152" s="488"/>
      <c r="W152" s="488"/>
      <c r="X152" s="488"/>
      <c r="Y152" s="488"/>
      <c r="Z152" s="488"/>
      <c r="AA152" s="488"/>
      <c r="AB152" s="488"/>
      <c r="AC152" s="488"/>
      <c r="AD152" s="488"/>
      <c r="AE152" s="488"/>
      <c r="AF152" s="488"/>
      <c r="AG152" s="488"/>
      <c r="AH152" s="488"/>
      <c r="AI152" s="488"/>
      <c r="AJ152" s="488"/>
    </row>
    <row r="153" spans="1:36" s="490" customFormat="1" hidden="1" x14ac:dyDescent="0.25">
      <c r="A153" s="1049"/>
      <c r="B153" s="544" t="s">
        <v>410</v>
      </c>
      <c r="C153" s="521" t="s">
        <v>182</v>
      </c>
      <c r="D153" s="496">
        <f>IF(('Pl 2014-17 PFC'!D153)=0,"",'Pl 2014-17 PFC'!D153)</f>
        <v>3156132</v>
      </c>
      <c r="E153" s="496">
        <f>IF(('Pl 2014-17 PFC'!E153)=0,"",'Pl 2014-17 PFC'!E153)</f>
        <v>3115684</v>
      </c>
      <c r="F153" s="496">
        <f>IF(('Pl 2014-17 PFC'!F153)=0,"",'Pl 2014-17 PFC'!F153)</f>
        <v>2930000</v>
      </c>
      <c r="G153" s="496">
        <f>IF(('Pl 2014-17 PFC'!G153)=0,"",'Pl 2014-17 PFC'!G153)</f>
        <v>2960000</v>
      </c>
      <c r="H153" s="496">
        <f>IF(('Pl 2014-17 PFC'!H153)=0,"",'Pl 2014-17 PFC'!H153)</f>
        <v>2990000</v>
      </c>
      <c r="I153" s="496">
        <f>'Pl 2014-17 PFC'!J153</f>
        <v>0</v>
      </c>
      <c r="J153" s="496">
        <f>'Pl 2014-17 PFC'!K153</f>
        <v>3115684</v>
      </c>
      <c r="K153" s="488"/>
      <c r="L153" s="488"/>
      <c r="M153" s="488"/>
      <c r="N153" s="488"/>
      <c r="O153" s="488"/>
      <c r="P153" s="488"/>
      <c r="Q153" s="488"/>
      <c r="R153" s="488"/>
      <c r="S153" s="488"/>
      <c r="T153" s="488"/>
      <c r="U153" s="488"/>
      <c r="V153" s="488"/>
      <c r="W153" s="488"/>
      <c r="X153" s="488"/>
      <c r="Y153" s="488"/>
      <c r="Z153" s="488"/>
      <c r="AA153" s="488"/>
      <c r="AB153" s="488"/>
      <c r="AC153" s="488"/>
      <c r="AD153" s="488"/>
      <c r="AE153" s="488"/>
      <c r="AF153" s="488"/>
      <c r="AG153" s="488"/>
      <c r="AH153" s="488"/>
      <c r="AI153" s="488"/>
      <c r="AJ153" s="488"/>
    </row>
    <row r="154" spans="1:36" s="490" customFormat="1" hidden="1" x14ac:dyDescent="0.25">
      <c r="A154" s="1049"/>
      <c r="B154" s="544" t="s">
        <v>400</v>
      </c>
      <c r="C154" s="521" t="s">
        <v>182</v>
      </c>
      <c r="D154" s="496">
        <f>IF(('Pl 2014-17 PFC'!D155)=0,"",'Pl 2014-17 PFC'!D155)</f>
        <v>2316</v>
      </c>
      <c r="E154" s="496">
        <f>IF(('Pl 2014-17 PFC'!E155)=0,"",'Pl 2014-17 PFC'!E155)</f>
        <v>3000</v>
      </c>
      <c r="F154" s="496">
        <f>IF(('Pl 2014-17 PFC'!F155)=0,"",'Pl 2014-17 PFC'!F155)</f>
        <v>3000</v>
      </c>
      <c r="G154" s="496">
        <f>IF(('Pl 2014-17 PFC'!G155)=0,"",'Pl 2014-17 PFC'!G155)</f>
        <v>3000</v>
      </c>
      <c r="H154" s="496">
        <f>IF(('Pl 2014-17 PFC'!H155)=0,"",'Pl 2014-17 PFC'!H155)</f>
        <v>3000</v>
      </c>
      <c r="I154" s="496">
        <f>'Pl 2014-17 PFC'!J155</f>
        <v>0</v>
      </c>
      <c r="J154" s="496">
        <f>'Pl 2014-17 PFC'!K155</f>
        <v>3000</v>
      </c>
      <c r="K154" s="488"/>
      <c r="L154" s="488"/>
      <c r="M154" s="488"/>
      <c r="N154" s="488"/>
      <c r="O154" s="488"/>
      <c r="P154" s="488"/>
      <c r="Q154" s="488"/>
      <c r="R154" s="488"/>
      <c r="S154" s="488"/>
      <c r="T154" s="488"/>
      <c r="U154" s="488"/>
      <c r="V154" s="488"/>
      <c r="W154" s="488"/>
      <c r="X154" s="488"/>
      <c r="Y154" s="488"/>
      <c r="Z154" s="488"/>
      <c r="AA154" s="488"/>
      <c r="AB154" s="488"/>
      <c r="AC154" s="488"/>
      <c r="AD154" s="488"/>
      <c r="AE154" s="488"/>
      <c r="AF154" s="488"/>
      <c r="AG154" s="488"/>
      <c r="AH154" s="488"/>
      <c r="AI154" s="488"/>
      <c r="AJ154" s="488"/>
    </row>
    <row r="155" spans="1:36" s="490" customFormat="1" hidden="1" x14ac:dyDescent="0.25">
      <c r="A155" s="1049"/>
      <c r="B155" s="544" t="s">
        <v>411</v>
      </c>
      <c r="C155" s="521" t="s">
        <v>182</v>
      </c>
      <c r="D155" s="496">
        <f>IF(('Pl 2014-17 PFC'!D156)=0,"0",'Pl 2014-17 PFC'!D156)</f>
        <v>140000</v>
      </c>
      <c r="E155" s="496">
        <f>IF(('Pl 2014-17 PFC'!E156)=0,"0",'Pl 2014-17 PFC'!E156)</f>
        <v>191316</v>
      </c>
      <c r="F155" s="496">
        <f>IF(('Pl 2014-17 PFC'!F156)=0,"0",'Pl 2014-17 PFC'!F156)</f>
        <v>160000</v>
      </c>
      <c r="G155" s="496">
        <f>IF(('Pl 2014-17 PFC'!G156)=0,"0",'Pl 2014-17 PFC'!G156)</f>
        <v>160000</v>
      </c>
      <c r="H155" s="496">
        <f>IF(('Pl 2014-17 PFC'!H156)=0,"0",'Pl 2014-17 PFC'!H156)</f>
        <v>160000</v>
      </c>
      <c r="I155" s="496">
        <f>'Pl 2014-17 PFC'!J156</f>
        <v>0</v>
      </c>
      <c r="J155" s="496">
        <f>'Pl 2014-17 PFC'!K156</f>
        <v>191316</v>
      </c>
      <c r="K155" s="488"/>
      <c r="L155" s="488"/>
      <c r="M155" s="488"/>
      <c r="N155" s="488"/>
      <c r="O155" s="488"/>
      <c r="P155" s="488"/>
      <c r="Q155" s="488"/>
      <c r="R155" s="488"/>
      <c r="S155" s="488"/>
      <c r="T155" s="488"/>
      <c r="U155" s="488"/>
      <c r="V155" s="488"/>
      <c r="W155" s="488"/>
      <c r="X155" s="488"/>
      <c r="Y155" s="488"/>
      <c r="Z155" s="488"/>
      <c r="AA155" s="488"/>
      <c r="AB155" s="488"/>
      <c r="AC155" s="488"/>
      <c r="AD155" s="488"/>
      <c r="AE155" s="488"/>
      <c r="AF155" s="488"/>
      <c r="AG155" s="488"/>
      <c r="AH155" s="488"/>
      <c r="AI155" s="488"/>
      <c r="AJ155" s="488"/>
    </row>
    <row r="156" spans="1:36" s="490" customFormat="1" hidden="1" x14ac:dyDescent="0.25">
      <c r="A156" s="1049"/>
      <c r="B156" s="544" t="s">
        <v>192</v>
      </c>
      <c r="C156" s="521" t="s">
        <v>182</v>
      </c>
      <c r="D156" s="496">
        <f>'Pl 2014-17 PFC'!D154</f>
        <v>10</v>
      </c>
      <c r="E156" s="496">
        <f>'Pl 2014-17 PFC'!E154</f>
        <v>10</v>
      </c>
      <c r="F156" s="496">
        <f>'Pl 2014-17 PFC'!F154</f>
        <v>10</v>
      </c>
      <c r="G156" s="496">
        <f>'Pl 2014-17 PFC'!G154</f>
        <v>10</v>
      </c>
      <c r="H156" s="496">
        <f>'Pl 2014-17 PFC'!H154</f>
        <v>10</v>
      </c>
      <c r="I156" s="496">
        <f>'Pl 2014-17 PFC'!J154</f>
        <v>0</v>
      </c>
      <c r="J156" s="496">
        <f>'Pl 2014-17 PFC'!K154</f>
        <v>10</v>
      </c>
      <c r="K156" s="488"/>
      <c r="L156" s="488"/>
      <c r="M156" s="488"/>
      <c r="N156" s="488"/>
      <c r="O156" s="488"/>
      <c r="P156" s="488"/>
      <c r="Q156" s="488"/>
      <c r="R156" s="488"/>
      <c r="S156" s="488"/>
      <c r="T156" s="488"/>
      <c r="U156" s="488"/>
      <c r="V156" s="488"/>
      <c r="W156" s="488"/>
      <c r="X156" s="488"/>
      <c r="Y156" s="488"/>
      <c r="Z156" s="488"/>
      <c r="AA156" s="488"/>
      <c r="AB156" s="488"/>
      <c r="AC156" s="488"/>
      <c r="AD156" s="488"/>
      <c r="AE156" s="488"/>
      <c r="AF156" s="488"/>
      <c r="AG156" s="488"/>
      <c r="AH156" s="488"/>
      <c r="AI156" s="488"/>
      <c r="AJ156" s="488"/>
    </row>
    <row r="157" spans="1:36" s="490" customFormat="1" ht="30" hidden="1" x14ac:dyDescent="0.25">
      <c r="A157" s="1049"/>
      <c r="B157" s="559" t="s">
        <v>412</v>
      </c>
      <c r="C157" s="521" t="s">
        <v>182</v>
      </c>
      <c r="D157" s="496">
        <f>SUM(D158:D169)</f>
        <v>84</v>
      </c>
      <c r="E157" s="496">
        <f>SUM(E158:E169)</f>
        <v>200</v>
      </c>
      <c r="F157" s="496">
        <f>SUM(F158:F169)</f>
        <v>200</v>
      </c>
      <c r="G157" s="496">
        <f>SUM(G158:G169)</f>
        <v>200</v>
      </c>
      <c r="H157" s="496">
        <f>SUM(H158:H169)</f>
        <v>200</v>
      </c>
      <c r="I157" s="496">
        <f>'Pl 2014-17 PFC'!J157</f>
        <v>0</v>
      </c>
      <c r="J157" s="496">
        <f>'Pl 2014-17 PFC'!K157</f>
        <v>200</v>
      </c>
      <c r="K157" s="488"/>
      <c r="L157" s="488"/>
      <c r="M157" s="488"/>
      <c r="N157" s="488"/>
      <c r="O157" s="488"/>
      <c r="P157" s="488"/>
      <c r="Q157" s="488"/>
      <c r="R157" s="488"/>
      <c r="S157" s="488"/>
      <c r="T157" s="488"/>
      <c r="U157" s="488"/>
      <c r="V157" s="488"/>
      <c r="W157" s="488"/>
      <c r="X157" s="488"/>
      <c r="Y157" s="488"/>
      <c r="Z157" s="488"/>
      <c r="AA157" s="488"/>
      <c r="AB157" s="488"/>
      <c r="AC157" s="488"/>
      <c r="AD157" s="488"/>
      <c r="AE157" s="488"/>
      <c r="AF157" s="488"/>
      <c r="AG157" s="488"/>
      <c r="AH157" s="488"/>
      <c r="AI157" s="488"/>
      <c r="AJ157" s="488"/>
    </row>
    <row r="158" spans="1:36" s="490" customFormat="1" hidden="1" x14ac:dyDescent="0.25">
      <c r="A158" s="1049"/>
      <c r="B158" s="557" t="s">
        <v>170</v>
      </c>
      <c r="C158" s="521"/>
      <c r="D158" s="496" t="str">
        <f>IF(('Pl 2014-17 PFC'!D158)=0,"",'Pl 2014-17 PFC'!D158)</f>
        <v/>
      </c>
      <c r="E158" s="496" t="str">
        <f>IF(('Pl 2014-17 PFC'!E158)=0,"",'Pl 2014-17 PFC'!E158)</f>
        <v/>
      </c>
      <c r="F158" s="496" t="str">
        <f>IF(('Pl 2014-17 PFC'!F158)=0,"",'Pl 2014-17 PFC'!F158)</f>
        <v/>
      </c>
      <c r="G158" s="496" t="str">
        <f>IF(('Pl 2014-17 PFC'!G158)=0,"",'Pl 2014-17 PFC'!G158)</f>
        <v/>
      </c>
      <c r="H158" s="496" t="str">
        <f>IF(('Pl 2014-17 PFC'!H158)=0,"",'Pl 2014-17 PFC'!H158)</f>
        <v/>
      </c>
      <c r="I158" s="496">
        <f>'Pl 2014-17 PFC'!J158</f>
        <v>0</v>
      </c>
      <c r="J158" s="496">
        <f>'Pl 2014-17 PFC'!K158</f>
        <v>0</v>
      </c>
      <c r="K158" s="488"/>
      <c r="L158" s="488"/>
      <c r="M158" s="488"/>
      <c r="N158" s="488"/>
      <c r="O158" s="488"/>
      <c r="P158" s="488"/>
      <c r="Q158" s="488"/>
      <c r="R158" s="488"/>
      <c r="S158" s="488"/>
      <c r="T158" s="488"/>
      <c r="U158" s="488"/>
      <c r="V158" s="488"/>
      <c r="W158" s="488"/>
      <c r="X158" s="488"/>
      <c r="Y158" s="488"/>
      <c r="Z158" s="488"/>
      <c r="AA158" s="488"/>
      <c r="AB158" s="488"/>
      <c r="AC158" s="488"/>
      <c r="AD158" s="488"/>
      <c r="AE158" s="488"/>
      <c r="AF158" s="488"/>
      <c r="AG158" s="488"/>
      <c r="AH158" s="488"/>
      <c r="AI158" s="488"/>
      <c r="AJ158" s="488"/>
    </row>
    <row r="159" spans="1:36" s="490" customFormat="1" hidden="1" x14ac:dyDescent="0.25">
      <c r="A159" s="1049"/>
      <c r="B159" s="557" t="s">
        <v>303</v>
      </c>
      <c r="C159" s="521"/>
      <c r="D159" s="496" t="str">
        <f>IF(('Pl 2014-17 PFC'!D159)=0,"",'Pl 2014-17 PFC'!D159)</f>
        <v/>
      </c>
      <c r="E159" s="496" t="str">
        <f>IF(('Pl 2014-17 PFC'!E159)=0,"",'Pl 2014-17 PFC'!E159)</f>
        <v/>
      </c>
      <c r="F159" s="496" t="str">
        <f>IF(('Pl 2014-17 PFC'!F159)=0,"",'Pl 2014-17 PFC'!F159)</f>
        <v/>
      </c>
      <c r="G159" s="496" t="str">
        <f>IF(('Pl 2014-17 PFC'!G159)=0,"",'Pl 2014-17 PFC'!G159)</f>
        <v/>
      </c>
      <c r="H159" s="496" t="str">
        <f>IF(('Pl 2014-17 PFC'!H159)=0,"",'Pl 2014-17 PFC'!H159)</f>
        <v/>
      </c>
      <c r="I159" s="496">
        <f>'Pl 2014-17 PFC'!J159</f>
        <v>0</v>
      </c>
      <c r="J159" s="496">
        <f>'Pl 2014-17 PFC'!K159</f>
        <v>0</v>
      </c>
      <c r="K159" s="488"/>
      <c r="L159" s="488"/>
      <c r="M159" s="488"/>
      <c r="N159" s="488"/>
      <c r="O159" s="488"/>
      <c r="P159" s="488"/>
      <c r="Q159" s="488"/>
      <c r="R159" s="488"/>
      <c r="S159" s="488"/>
      <c r="T159" s="488"/>
      <c r="U159" s="488"/>
      <c r="V159" s="488"/>
      <c r="W159" s="488"/>
      <c r="X159" s="488"/>
      <c r="Y159" s="488"/>
      <c r="Z159" s="488"/>
      <c r="AA159" s="488"/>
      <c r="AB159" s="488"/>
      <c r="AC159" s="488"/>
      <c r="AD159" s="488"/>
      <c r="AE159" s="488"/>
      <c r="AF159" s="488"/>
      <c r="AG159" s="488"/>
      <c r="AH159" s="488"/>
      <c r="AI159" s="488"/>
      <c r="AJ159" s="488"/>
    </row>
    <row r="160" spans="1:36" s="490" customFormat="1" hidden="1" x14ac:dyDescent="0.25">
      <c r="A160" s="1049"/>
      <c r="B160" s="557" t="s">
        <v>168</v>
      </c>
      <c r="C160" s="521"/>
      <c r="D160" s="496" t="str">
        <f>IF(('Pl 2014-17 PFC'!D160)=0,"",'Pl 2014-17 PFC'!D160)</f>
        <v/>
      </c>
      <c r="E160" s="496" t="str">
        <f>IF(('Pl 2014-17 PFC'!E160)=0,"",'Pl 2014-17 PFC'!E160)</f>
        <v/>
      </c>
      <c r="F160" s="496" t="str">
        <f>IF(('Pl 2014-17 PFC'!F160)=0,"",'Pl 2014-17 PFC'!F160)</f>
        <v/>
      </c>
      <c r="G160" s="496" t="str">
        <f>IF(('Pl 2014-17 PFC'!G160)=0,"",'Pl 2014-17 PFC'!G160)</f>
        <v/>
      </c>
      <c r="H160" s="496" t="str">
        <f>IF(('Pl 2014-17 PFC'!H160)=0,"",'Pl 2014-17 PFC'!H160)</f>
        <v/>
      </c>
      <c r="I160" s="496">
        <f>'Pl 2014-17 PFC'!J160</f>
        <v>0</v>
      </c>
      <c r="J160" s="496">
        <f>'Pl 2014-17 PFC'!K160</f>
        <v>0</v>
      </c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8"/>
      <c r="AC160" s="488"/>
      <c r="AD160" s="488"/>
      <c r="AE160" s="488"/>
      <c r="AF160" s="488"/>
      <c r="AG160" s="488"/>
      <c r="AH160" s="488"/>
      <c r="AI160" s="488"/>
      <c r="AJ160" s="488"/>
    </row>
    <row r="161" spans="1:38" s="490" customFormat="1" hidden="1" x14ac:dyDescent="0.25">
      <c r="A161" s="1049"/>
      <c r="B161" s="557" t="s">
        <v>169</v>
      </c>
      <c r="C161" s="521"/>
      <c r="D161" s="496" t="str">
        <f>IF(('Pl 2014-17 PFC'!D161)=0,"",'Pl 2014-17 PFC'!D161)</f>
        <v/>
      </c>
      <c r="E161" s="496" t="str">
        <f>IF(('Pl 2014-17 PFC'!E161)=0,"",'Pl 2014-17 PFC'!E161)</f>
        <v/>
      </c>
      <c r="F161" s="496" t="str">
        <f>IF(('Pl 2014-17 PFC'!F161)=0,"",'Pl 2014-17 PFC'!F161)</f>
        <v/>
      </c>
      <c r="G161" s="496" t="str">
        <f>IF(('Pl 2014-17 PFC'!G161)=0,"",'Pl 2014-17 PFC'!G161)</f>
        <v/>
      </c>
      <c r="H161" s="496" t="str">
        <f>IF(('Pl 2014-17 PFC'!H161)=0,"",'Pl 2014-17 PFC'!H161)</f>
        <v/>
      </c>
      <c r="I161" s="496">
        <f>'Pl 2014-17 PFC'!J161</f>
        <v>0</v>
      </c>
      <c r="J161" s="496">
        <f>'Pl 2014-17 PFC'!K161</f>
        <v>0</v>
      </c>
      <c r="K161" s="488"/>
      <c r="L161" s="488"/>
      <c r="M161" s="488"/>
      <c r="N161" s="488"/>
      <c r="O161" s="488"/>
      <c r="P161" s="488"/>
      <c r="Q161" s="488"/>
      <c r="R161" s="488"/>
      <c r="S161" s="488"/>
      <c r="T161" s="488"/>
      <c r="U161" s="488"/>
      <c r="V161" s="488"/>
      <c r="W161" s="488"/>
      <c r="X161" s="488"/>
      <c r="Y161" s="488"/>
      <c r="Z161" s="488"/>
      <c r="AA161" s="488"/>
      <c r="AB161" s="488"/>
      <c r="AC161" s="488"/>
      <c r="AD161" s="488"/>
      <c r="AE161" s="488"/>
      <c r="AF161" s="488"/>
      <c r="AG161" s="488"/>
      <c r="AH161" s="488"/>
      <c r="AI161" s="488"/>
      <c r="AJ161" s="488"/>
    </row>
    <row r="162" spans="1:38" s="490" customFormat="1" hidden="1" x14ac:dyDescent="0.25">
      <c r="A162" s="1049"/>
      <c r="B162" s="557" t="s">
        <v>176</v>
      </c>
      <c r="C162" s="521"/>
      <c r="D162" s="496" t="str">
        <f>IF(('Pl 2014-17 PFC'!D162)=0,"",'Pl 2014-17 PFC'!D162)</f>
        <v/>
      </c>
      <c r="E162" s="496" t="str">
        <f>IF(('Pl 2014-17 PFC'!E162)=0,"",'Pl 2014-17 PFC'!E162)</f>
        <v/>
      </c>
      <c r="F162" s="496" t="str">
        <f>IF(('Pl 2014-17 PFC'!F162)=0,"",'Pl 2014-17 PFC'!F162)</f>
        <v/>
      </c>
      <c r="G162" s="496" t="str">
        <f>IF(('Pl 2014-17 PFC'!G162)=0,"",'Pl 2014-17 PFC'!G162)</f>
        <v/>
      </c>
      <c r="H162" s="496" t="str">
        <f>IF(('Pl 2014-17 PFC'!H162)=0,"",'Pl 2014-17 PFC'!H162)</f>
        <v/>
      </c>
      <c r="I162" s="496">
        <f>'Pl 2014-17 PFC'!J162</f>
        <v>0</v>
      </c>
      <c r="J162" s="496">
        <f>'Pl 2014-17 PFC'!K162</f>
        <v>0</v>
      </c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  <c r="Z162" s="488"/>
      <c r="AA162" s="488"/>
      <c r="AB162" s="488"/>
      <c r="AC162" s="488"/>
      <c r="AD162" s="488"/>
      <c r="AE162" s="488"/>
      <c r="AF162" s="488"/>
      <c r="AG162" s="488"/>
      <c r="AH162" s="488"/>
      <c r="AI162" s="488"/>
      <c r="AJ162" s="488"/>
    </row>
    <row r="163" spans="1:38" s="490" customFormat="1" hidden="1" x14ac:dyDescent="0.25">
      <c r="A163" s="1049"/>
      <c r="B163" s="557" t="s">
        <v>195</v>
      </c>
      <c r="C163" s="521"/>
      <c r="D163" s="496" t="str">
        <f>IF(('Pl 2014-17 PFC'!D163)=0,"",'Pl 2014-17 PFC'!D163)</f>
        <v/>
      </c>
      <c r="E163" s="496" t="str">
        <f>IF(('Pl 2014-17 PFC'!E163)=0,"",'Pl 2014-17 PFC'!E163)</f>
        <v/>
      </c>
      <c r="F163" s="496" t="str">
        <f>IF(('Pl 2014-17 PFC'!F163)=0,"",'Pl 2014-17 PFC'!F163)</f>
        <v/>
      </c>
      <c r="G163" s="496" t="str">
        <f>IF(('Pl 2014-17 PFC'!G163)=0,"",'Pl 2014-17 PFC'!G163)</f>
        <v/>
      </c>
      <c r="H163" s="496" t="str">
        <f>IF(('Pl 2014-17 PFC'!H163)=0,"",'Pl 2014-17 PFC'!H163)</f>
        <v/>
      </c>
      <c r="I163" s="496">
        <f>'Pl 2014-17 PFC'!J163</f>
        <v>0</v>
      </c>
      <c r="J163" s="496">
        <f>'Pl 2014-17 PFC'!K163</f>
        <v>0</v>
      </c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8"/>
      <c r="AH163" s="488"/>
      <c r="AI163" s="488"/>
      <c r="AJ163" s="488"/>
    </row>
    <row r="164" spans="1:38" s="490" customFormat="1" hidden="1" x14ac:dyDescent="0.25">
      <c r="A164" s="1049"/>
      <c r="B164" s="557" t="s">
        <v>174</v>
      </c>
      <c r="C164" s="521"/>
      <c r="D164" s="496" t="str">
        <f>IF(('Pl 2014-17 PFC'!D164)=0,"",'Pl 2014-17 PFC'!D164)</f>
        <v/>
      </c>
      <c r="E164" s="496" t="str">
        <f>IF(('Pl 2014-17 PFC'!E164)=0,"",'Pl 2014-17 PFC'!E164)</f>
        <v/>
      </c>
      <c r="F164" s="496" t="str">
        <f>IF(('Pl 2014-17 PFC'!F164)=0,"",'Pl 2014-17 PFC'!F164)</f>
        <v/>
      </c>
      <c r="G164" s="496" t="str">
        <f>IF(('Pl 2014-17 PFC'!G164)=0,"",'Pl 2014-17 PFC'!G164)</f>
        <v/>
      </c>
      <c r="H164" s="496" t="str">
        <f>IF(('Pl 2014-17 PFC'!H164)=0,"",'Pl 2014-17 PFC'!H164)</f>
        <v/>
      </c>
      <c r="I164" s="496">
        <f>'Pl 2014-17 PFC'!J164</f>
        <v>0</v>
      </c>
      <c r="J164" s="496">
        <f>'Pl 2014-17 PFC'!K164</f>
        <v>0</v>
      </c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W164" s="488"/>
      <c r="X164" s="488"/>
      <c r="Y164" s="488"/>
      <c r="Z164" s="488"/>
      <c r="AA164" s="488"/>
      <c r="AB164" s="488"/>
      <c r="AC164" s="488"/>
      <c r="AD164" s="488"/>
      <c r="AE164" s="488"/>
      <c r="AF164" s="488"/>
      <c r="AG164" s="488"/>
      <c r="AH164" s="488"/>
      <c r="AI164" s="488"/>
      <c r="AJ164" s="488"/>
    </row>
    <row r="165" spans="1:38" s="490" customFormat="1" hidden="1" x14ac:dyDescent="0.25">
      <c r="A165" s="1049"/>
      <c r="B165" s="557" t="s">
        <v>172</v>
      </c>
      <c r="C165" s="521"/>
      <c r="D165" s="496" t="str">
        <f>IF(('Pl 2014-17 PFC'!D165)=0,"",'Pl 2014-17 PFC'!D165)</f>
        <v/>
      </c>
      <c r="E165" s="496" t="str">
        <f>IF(('Pl 2014-17 PFC'!E165)=0,"",'Pl 2014-17 PFC'!E165)</f>
        <v/>
      </c>
      <c r="F165" s="496" t="str">
        <f>IF(('Pl 2014-17 PFC'!F165)=0,"",'Pl 2014-17 PFC'!F165)</f>
        <v/>
      </c>
      <c r="G165" s="496" t="str">
        <f>IF(('Pl 2014-17 PFC'!G165)=0,"",'Pl 2014-17 PFC'!G165)</f>
        <v/>
      </c>
      <c r="H165" s="496" t="str">
        <f>IF(('Pl 2014-17 PFC'!H165)=0,"",'Pl 2014-17 PFC'!H165)</f>
        <v/>
      </c>
      <c r="I165" s="496">
        <f>'Pl 2014-17 PFC'!J165</f>
        <v>0</v>
      </c>
      <c r="J165" s="496">
        <f>'Pl 2014-17 PFC'!K165</f>
        <v>0</v>
      </c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488"/>
      <c r="AA165" s="488"/>
      <c r="AB165" s="488"/>
      <c r="AC165" s="488"/>
      <c r="AD165" s="488"/>
      <c r="AE165" s="488"/>
      <c r="AF165" s="488"/>
      <c r="AG165" s="488"/>
      <c r="AH165" s="488"/>
      <c r="AI165" s="488"/>
      <c r="AJ165" s="488"/>
    </row>
    <row r="166" spans="1:38" s="490" customFormat="1" hidden="1" x14ac:dyDescent="0.25">
      <c r="A166" s="1049"/>
      <c r="B166" s="557" t="s">
        <v>405</v>
      </c>
      <c r="C166" s="521"/>
      <c r="D166" s="496" t="str">
        <f>IF(('Pl 2014-17 PFC'!D166)=0,"",'Pl 2014-17 PFC'!D166)</f>
        <v/>
      </c>
      <c r="E166" s="496" t="str">
        <f>IF(('Pl 2014-17 PFC'!E166)=0,"",'Pl 2014-17 PFC'!E166)</f>
        <v/>
      </c>
      <c r="F166" s="496" t="str">
        <f>IF(('Pl 2014-17 PFC'!F166)=0,"",'Pl 2014-17 PFC'!F166)</f>
        <v/>
      </c>
      <c r="G166" s="496" t="str">
        <f>IF(('Pl 2014-17 PFC'!G166)=0,"",'Pl 2014-17 PFC'!G166)</f>
        <v/>
      </c>
      <c r="H166" s="496" t="str">
        <f>IF(('Pl 2014-17 PFC'!H166)=0,"",'Pl 2014-17 PFC'!H166)</f>
        <v/>
      </c>
      <c r="I166" s="496">
        <f>'Pl 2014-17 PFC'!J166</f>
        <v>0</v>
      </c>
      <c r="J166" s="496">
        <f>'Pl 2014-17 PFC'!K166</f>
        <v>0</v>
      </c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8"/>
      <c r="AC166" s="488"/>
      <c r="AD166" s="488"/>
      <c r="AE166" s="488"/>
      <c r="AF166" s="488"/>
      <c r="AG166" s="488"/>
      <c r="AH166" s="488"/>
      <c r="AI166" s="488"/>
      <c r="AJ166" s="488"/>
    </row>
    <row r="167" spans="1:38" s="490" customFormat="1" ht="30" hidden="1" x14ac:dyDescent="0.25">
      <c r="A167" s="1049"/>
      <c r="B167" s="560" t="s">
        <v>413</v>
      </c>
      <c r="C167" s="521"/>
      <c r="D167" s="496">
        <f>IF(('Pl 2014-17 PFC'!D167)=0,"",'Pl 2014-17 PFC'!D167)</f>
        <v>84</v>
      </c>
      <c r="E167" s="496">
        <f>IF(('Pl 2014-17 PFC'!E167)=0,"",'Pl 2014-17 PFC'!E167)</f>
        <v>200</v>
      </c>
      <c r="F167" s="496">
        <f>IF(('Pl 2014-17 PFC'!F167)=0,"",'Pl 2014-17 PFC'!F167)</f>
        <v>200</v>
      </c>
      <c r="G167" s="496">
        <f>IF(('Pl 2014-17 PFC'!G167)=0,"",'Pl 2014-17 PFC'!G167)</f>
        <v>200</v>
      </c>
      <c r="H167" s="496">
        <f>IF(('Pl 2014-17 PFC'!H167)=0,"",'Pl 2014-17 PFC'!H167)</f>
        <v>200</v>
      </c>
      <c r="I167" s="496">
        <f>'Pl 2014-17 PFC'!J167</f>
        <v>0</v>
      </c>
      <c r="J167" s="496">
        <f>'Pl 2014-17 PFC'!K167</f>
        <v>200</v>
      </c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  <c r="Z167" s="488"/>
      <c r="AA167" s="488"/>
      <c r="AB167" s="488"/>
      <c r="AC167" s="488"/>
      <c r="AD167" s="488"/>
      <c r="AE167" s="488"/>
      <c r="AF167" s="488"/>
      <c r="AG167" s="488"/>
      <c r="AH167" s="488"/>
      <c r="AI167" s="488"/>
      <c r="AJ167" s="488"/>
    </row>
    <row r="168" spans="1:38" s="490" customFormat="1" hidden="1" x14ac:dyDescent="0.25">
      <c r="A168" s="1049"/>
      <c r="B168" s="560" t="s">
        <v>414</v>
      </c>
      <c r="C168" s="521"/>
      <c r="D168" s="496" t="str">
        <f>IF(('Pl 2014-17 PFC'!D168)=0,"",'Pl 2014-17 PFC'!D168)</f>
        <v/>
      </c>
      <c r="E168" s="496" t="str">
        <f>IF(('Pl 2014-17 PFC'!E168)=0,"",'Pl 2014-17 PFC'!E168)</f>
        <v/>
      </c>
      <c r="F168" s="496" t="str">
        <f>IF(('Pl 2014-17 PFC'!F168)=0,"",'Pl 2014-17 PFC'!F168)</f>
        <v/>
      </c>
      <c r="G168" s="496" t="str">
        <f>IF(('Pl 2014-17 PFC'!G168)=0,"",'Pl 2014-17 PFC'!G168)</f>
        <v/>
      </c>
      <c r="H168" s="496" t="str">
        <f>IF(('Pl 2014-17 PFC'!H168)=0,"",'Pl 2014-17 PFC'!H168)</f>
        <v/>
      </c>
      <c r="I168" s="496">
        <f>'Pl 2014-17 PFC'!J168</f>
        <v>0</v>
      </c>
      <c r="J168" s="496">
        <f>'Pl 2014-17 PFC'!K168</f>
        <v>0</v>
      </c>
      <c r="K168" s="488"/>
      <c r="L168" s="488"/>
      <c r="M168" s="488"/>
      <c r="N168" s="488"/>
      <c r="O168" s="488"/>
      <c r="P168" s="488"/>
      <c r="Q168" s="488"/>
      <c r="R168" s="488"/>
      <c r="S168" s="488"/>
      <c r="T168" s="488"/>
      <c r="U168" s="488"/>
      <c r="V168" s="488"/>
      <c r="W168" s="488"/>
      <c r="X168" s="488"/>
      <c r="Y168" s="488"/>
      <c r="Z168" s="488"/>
      <c r="AA168" s="488"/>
      <c r="AB168" s="488"/>
      <c r="AC168" s="488"/>
      <c r="AD168" s="488"/>
      <c r="AE168" s="488"/>
      <c r="AF168" s="488"/>
      <c r="AG168" s="488"/>
      <c r="AH168" s="488"/>
      <c r="AI168" s="488"/>
      <c r="AJ168" s="488"/>
    </row>
    <row r="169" spans="1:38" s="490" customFormat="1" hidden="1" x14ac:dyDescent="0.25">
      <c r="A169" s="1049"/>
      <c r="B169" s="557" t="s">
        <v>198</v>
      </c>
      <c r="C169" s="521"/>
      <c r="D169" s="496" t="str">
        <f>IF(('Pl 2014-17 PFC'!D169)=0,"",'Pl 2014-17 PFC'!D169)</f>
        <v/>
      </c>
      <c r="E169" s="496" t="str">
        <f>IF(('Pl 2014-17 PFC'!E169)=0,"",'Pl 2014-17 PFC'!E169)</f>
        <v/>
      </c>
      <c r="F169" s="496" t="str">
        <f>IF(('Pl 2014-17 PFC'!F169)=0,"",'Pl 2014-17 PFC'!F169)</f>
        <v/>
      </c>
      <c r="G169" s="496" t="str">
        <f>IF(('Pl 2014-17 PFC'!G169)=0,"",'Pl 2014-17 PFC'!G169)</f>
        <v/>
      </c>
      <c r="H169" s="496" t="str">
        <f>IF(('Pl 2014-17 PFC'!H169)=0,"",'Pl 2014-17 PFC'!H169)</f>
        <v/>
      </c>
      <c r="I169" s="496">
        <f>'Pl 2014-17 PFC'!J169</f>
        <v>0</v>
      </c>
      <c r="J169" s="496">
        <f>'Pl 2014-17 PFC'!K169</f>
        <v>0</v>
      </c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488"/>
      <c r="W169" s="488"/>
      <c r="X169" s="488"/>
      <c r="Y169" s="488"/>
      <c r="Z169" s="488"/>
      <c r="AA169" s="488"/>
      <c r="AB169" s="488"/>
      <c r="AC169" s="488"/>
      <c r="AD169" s="488"/>
      <c r="AE169" s="488"/>
      <c r="AF169" s="488"/>
      <c r="AG169" s="488"/>
      <c r="AH169" s="488"/>
      <c r="AI169" s="488"/>
      <c r="AJ169" s="488"/>
    </row>
    <row r="170" spans="1:38" s="490" customFormat="1" hidden="1" x14ac:dyDescent="0.25">
      <c r="A170" s="1049"/>
      <c r="B170" s="561" t="s">
        <v>199</v>
      </c>
      <c r="C170" s="521"/>
      <c r="D170" s="496" t="str">
        <f>IF(('Pl 2014-17 PFC'!D170)=0,"",'Pl 2014-17 PFC'!D170)</f>
        <v/>
      </c>
      <c r="E170" s="496" t="str">
        <f>IF(('Pl 2014-17 PFC'!E170)=0,"",'Pl 2014-17 PFC'!E170)</f>
        <v/>
      </c>
      <c r="F170" s="496" t="str">
        <f>IF(('Pl 2014-17 PFC'!F170)=0,"",'Pl 2014-17 PFC'!F170)</f>
        <v/>
      </c>
      <c r="G170" s="496" t="str">
        <f>IF(('Pl 2014-17 PFC'!G170)=0,"",'Pl 2014-17 PFC'!G170)</f>
        <v/>
      </c>
      <c r="H170" s="496" t="str">
        <f>IF(('Pl 2014-17 PFC'!H170)=0,"",'Pl 2014-17 PFC'!H170)</f>
        <v/>
      </c>
      <c r="I170" s="496">
        <f>'Pl 2014-17 PFC'!J170</f>
        <v>0</v>
      </c>
      <c r="J170" s="496">
        <f>'Pl 2014-17 PFC'!K170</f>
        <v>0</v>
      </c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  <c r="V170" s="488"/>
      <c r="W170" s="488"/>
      <c r="X170" s="488"/>
      <c r="Y170" s="488"/>
      <c r="Z170" s="488"/>
      <c r="AA170" s="488"/>
      <c r="AB170" s="488"/>
      <c r="AC170" s="488"/>
      <c r="AD170" s="488"/>
      <c r="AE170" s="488"/>
      <c r="AF170" s="488"/>
      <c r="AG170" s="488"/>
      <c r="AH170" s="488"/>
      <c r="AI170" s="488"/>
      <c r="AJ170" s="488"/>
    </row>
    <row r="171" spans="1:38" s="490" customFormat="1" hidden="1" x14ac:dyDescent="0.25">
      <c r="A171" s="1049"/>
      <c r="B171" s="557"/>
      <c r="C171" s="521"/>
      <c r="D171" s="496"/>
      <c r="E171" s="496"/>
      <c r="F171" s="496"/>
      <c r="G171" s="496"/>
      <c r="H171" s="496"/>
      <c r="I171" s="496">
        <f>'Pl 2014-17 PFC'!J171</f>
        <v>0</v>
      </c>
      <c r="J171" s="496">
        <f>'Pl 2014-17 PFC'!K171</f>
        <v>0</v>
      </c>
      <c r="K171" s="488"/>
      <c r="L171" s="488"/>
      <c r="M171" s="488"/>
      <c r="N171" s="488"/>
      <c r="O171" s="488"/>
      <c r="P171" s="488"/>
      <c r="Q171" s="488"/>
      <c r="R171" s="488"/>
      <c r="S171" s="488"/>
      <c r="T171" s="488"/>
      <c r="U171" s="488"/>
      <c r="V171" s="488"/>
      <c r="W171" s="488"/>
      <c r="X171" s="488"/>
      <c r="Y171" s="488"/>
      <c r="Z171" s="488"/>
      <c r="AA171" s="488"/>
      <c r="AB171" s="488"/>
      <c r="AC171" s="488"/>
      <c r="AD171" s="488"/>
      <c r="AE171" s="488"/>
      <c r="AF171" s="488"/>
      <c r="AG171" s="488"/>
      <c r="AH171" s="488"/>
      <c r="AI171" s="488"/>
      <c r="AJ171" s="488"/>
    </row>
    <row r="172" spans="1:38" s="481" customFormat="1" x14ac:dyDescent="0.25">
      <c r="A172" s="1049" t="s">
        <v>674</v>
      </c>
      <c r="B172" s="554" t="s">
        <v>415</v>
      </c>
      <c r="C172" s="521" t="s">
        <v>87</v>
      </c>
      <c r="D172" s="496">
        <f>D174+D188</f>
        <v>4563</v>
      </c>
      <c r="E172" s="496">
        <f>E174+E188</f>
        <v>5161</v>
      </c>
      <c r="F172" s="496">
        <f>F174+F188</f>
        <v>5252</v>
      </c>
      <c r="G172" s="496">
        <f>G174+G188</f>
        <v>5345</v>
      </c>
      <c r="H172" s="496">
        <f>H174+H188</f>
        <v>5441</v>
      </c>
      <c r="I172" s="496">
        <f>'Pl 2014-17 PFC'!J172</f>
        <v>0</v>
      </c>
      <c r="J172" s="496">
        <f>'Pl 2014-17 PFC'!K172</f>
        <v>5161</v>
      </c>
      <c r="K172" s="450"/>
      <c r="L172" s="450"/>
      <c r="M172" s="450"/>
      <c r="N172" s="450"/>
      <c r="O172" s="450"/>
      <c r="P172" s="450"/>
      <c r="Q172" s="450"/>
      <c r="R172" s="450"/>
      <c r="S172" s="450"/>
      <c r="T172" s="450"/>
      <c r="U172" s="450"/>
      <c r="V172" s="450"/>
      <c r="W172" s="450"/>
      <c r="X172" s="450"/>
      <c r="Y172" s="450"/>
      <c r="Z172" s="450"/>
      <c r="AA172" s="450"/>
      <c r="AB172" s="450"/>
      <c r="AC172" s="450"/>
      <c r="AD172" s="450"/>
      <c r="AE172" s="450"/>
      <c r="AF172" s="450"/>
      <c r="AG172" s="450"/>
      <c r="AH172" s="450"/>
      <c r="AI172" s="450"/>
      <c r="AJ172" s="450"/>
    </row>
    <row r="173" spans="1:38" s="483" customFormat="1" ht="31.5" hidden="1" x14ac:dyDescent="0.25">
      <c r="A173" s="1049" t="s">
        <v>25</v>
      </c>
      <c r="B173" s="555" t="s">
        <v>416</v>
      </c>
      <c r="C173" s="562" t="s">
        <v>202</v>
      </c>
      <c r="D173" s="496">
        <f>'Pl 2014-17 PFC'!D174</f>
        <v>950</v>
      </c>
      <c r="E173" s="496">
        <f>'Pl 2014-17 PFC'!E174</f>
        <v>1500</v>
      </c>
      <c r="F173" s="496">
        <f>'Pl 2014-17 PFC'!F174</f>
        <v>1500</v>
      </c>
      <c r="G173" s="496">
        <f>'Pl 2014-17 PFC'!G174</f>
        <v>1500</v>
      </c>
      <c r="H173" s="496">
        <f>'Pl 2014-17 PFC'!H174</f>
        <v>1500</v>
      </c>
      <c r="I173" s="496">
        <f>'Pl 2014-17 PFC'!J173</f>
        <v>0</v>
      </c>
      <c r="J173" s="496">
        <f>'Pl 2014-17 PFC'!K173</f>
        <v>1500</v>
      </c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0"/>
      <c r="AH173" s="450"/>
      <c r="AI173" s="450"/>
      <c r="AJ173" s="450"/>
      <c r="AK173" s="481"/>
      <c r="AL173" s="481"/>
    </row>
    <row r="174" spans="1:38" x14ac:dyDescent="0.25">
      <c r="A174" s="1049" t="s">
        <v>25</v>
      </c>
      <c r="B174" s="554" t="s">
        <v>417</v>
      </c>
      <c r="C174" s="521" t="s">
        <v>202</v>
      </c>
      <c r="D174" s="496">
        <f>SUM(D175:D175,D186)+'Pl 2014-17 PFC'!D174</f>
        <v>987</v>
      </c>
      <c r="E174" s="496">
        <f>SUM(E175:E175,E186)+'Pl 2014-17 PFC'!E174</f>
        <v>1500</v>
      </c>
      <c r="F174" s="496">
        <f>SUM(F175:F175,F186)+'Pl 2014-17 PFC'!F174</f>
        <v>1500</v>
      </c>
      <c r="G174" s="496">
        <f>SUM(G175:G175,G186)+'Pl 2014-17 PFC'!G174</f>
        <v>1500</v>
      </c>
      <c r="H174" s="496">
        <f>SUM(H175:H175,H186)+'Pl 2014-17 PFC'!H174</f>
        <v>1500</v>
      </c>
      <c r="I174" s="496">
        <f>'Pl 2014-17 PFC'!J174</f>
        <v>0</v>
      </c>
      <c r="J174" s="496">
        <f>'Pl 2014-17 PFC'!K174</f>
        <v>1500</v>
      </c>
    </row>
    <row r="175" spans="1:38" ht="31.5" hidden="1" x14ac:dyDescent="0.25">
      <c r="A175" s="1049"/>
      <c r="B175" s="555" t="s">
        <v>412</v>
      </c>
      <c r="C175" s="521" t="s">
        <v>202</v>
      </c>
      <c r="D175" s="496">
        <f>SUM(D176:D185)</f>
        <v>37</v>
      </c>
      <c r="E175" s="496">
        <f>SUM(E176:E185)</f>
        <v>0</v>
      </c>
      <c r="F175" s="496">
        <f>SUM(F176:F185)</f>
        <v>0</v>
      </c>
      <c r="G175" s="496">
        <f>SUM(G176:G185)</f>
        <v>0</v>
      </c>
      <c r="H175" s="496">
        <f>SUM(H176:H185)</f>
        <v>0</v>
      </c>
      <c r="I175" s="496">
        <f>'Pl 2014-17 PFC'!J175</f>
        <v>0</v>
      </c>
      <c r="J175" s="496">
        <f>'Pl 2014-17 PFC'!K175</f>
        <v>0</v>
      </c>
    </row>
    <row r="176" spans="1:38" hidden="1" x14ac:dyDescent="0.25">
      <c r="A176" s="1049"/>
      <c r="B176" s="554" t="s">
        <v>166</v>
      </c>
      <c r="C176" s="521"/>
      <c r="D176" s="496" t="str">
        <f>IF(('Pl 2014-17 PFC'!D176)=0,"0",'Pl 2014-17 PFC'!D176)</f>
        <v>0</v>
      </c>
      <c r="E176" s="496" t="str">
        <f>IF(('Pl 2014-17 PFC'!E176)=0,"0",'Pl 2014-17 PFC'!E176)</f>
        <v>0</v>
      </c>
      <c r="F176" s="496" t="str">
        <f>IF(('Pl 2014-17 PFC'!F176)=0,"0",'Pl 2014-17 PFC'!F176)</f>
        <v>0</v>
      </c>
      <c r="G176" s="496" t="str">
        <f>IF(('Pl 2014-17 PFC'!G176)=0,"0",'Pl 2014-17 PFC'!G176)</f>
        <v>0</v>
      </c>
      <c r="H176" s="496" t="str">
        <f>IF(('Pl 2014-17 PFC'!H176)=0,"0",'Pl 2014-17 PFC'!H176)</f>
        <v>0</v>
      </c>
      <c r="I176" s="496">
        <f>'Pl 2014-17 PFC'!J176</f>
        <v>0</v>
      </c>
      <c r="J176" s="496">
        <f>'Pl 2014-17 PFC'!K176</f>
        <v>0</v>
      </c>
    </row>
    <row r="177" spans="1:38" hidden="1" x14ac:dyDescent="0.25">
      <c r="A177" s="1049"/>
      <c r="B177" s="554" t="s">
        <v>418</v>
      </c>
      <c r="C177" s="521"/>
      <c r="D177" s="496" t="str">
        <f>IF(('Pl 2014-17 PFC'!D178)=0,"0",'Pl 2014-17 PFC'!D178)</f>
        <v>0</v>
      </c>
      <c r="E177" s="496" t="str">
        <f>IF(('Pl 2014-17 PFC'!E178)=0,"0",'Pl 2014-17 PFC'!E178)</f>
        <v>0</v>
      </c>
      <c r="F177" s="496" t="str">
        <f>IF(('Pl 2014-17 PFC'!F178)=0,"0",'Pl 2014-17 PFC'!F178)</f>
        <v>0</v>
      </c>
      <c r="G177" s="496" t="str">
        <f>IF(('Pl 2014-17 PFC'!G178)=0,"0",'Pl 2014-17 PFC'!G178)</f>
        <v>0</v>
      </c>
      <c r="H177" s="496" t="str">
        <f>IF(('Pl 2014-17 PFC'!H178)=0,"0",'Pl 2014-17 PFC'!H178)</f>
        <v>0</v>
      </c>
      <c r="I177" s="496">
        <f>'Pl 2014-17 PFC'!J177</f>
        <v>0</v>
      </c>
      <c r="J177" s="496">
        <f>'Pl 2014-17 PFC'!K177</f>
        <v>0</v>
      </c>
    </row>
    <row r="178" spans="1:38" hidden="1" x14ac:dyDescent="0.25">
      <c r="A178" s="1049"/>
      <c r="B178" s="554" t="s">
        <v>164</v>
      </c>
      <c r="C178" s="521"/>
      <c r="D178" s="496" t="str">
        <f>IF(('Pl 2014-17 PFC'!D177)=0,"0",'Pl 2014-17 PFC'!D177)</f>
        <v>0</v>
      </c>
      <c r="E178" s="496" t="str">
        <f>IF(('Pl 2014-17 PFC'!E177)=0,"0",'Pl 2014-17 PFC'!E177)</f>
        <v>0</v>
      </c>
      <c r="F178" s="496" t="str">
        <f>IF(('Pl 2014-17 PFC'!F177)=0,"0",'Pl 2014-17 PFC'!F177)</f>
        <v>0</v>
      </c>
      <c r="G178" s="496" t="str">
        <f>IF(('Pl 2014-17 PFC'!G177)=0,"0",'Pl 2014-17 PFC'!G177)</f>
        <v>0</v>
      </c>
      <c r="H178" s="496" t="str">
        <f>IF(('Pl 2014-17 PFC'!H177)=0,"0",'Pl 2014-17 PFC'!H177)</f>
        <v>0</v>
      </c>
      <c r="I178" s="496">
        <f>'Pl 2014-17 PFC'!J178</f>
        <v>0</v>
      </c>
      <c r="J178" s="496">
        <f>'Pl 2014-17 PFC'!K178</f>
        <v>0</v>
      </c>
    </row>
    <row r="179" spans="1:38" hidden="1" x14ac:dyDescent="0.25">
      <c r="A179" s="1049"/>
      <c r="B179" s="554" t="s">
        <v>204</v>
      </c>
      <c r="C179" s="521"/>
      <c r="D179" s="496">
        <f>IF(('Pl 2014-17 PFC'!D179)=0,"0",'Pl 2014-17 PFC'!D179)</f>
        <v>7</v>
      </c>
      <c r="E179" s="496" t="str">
        <f>IF(('Pl 2014-17 PFC'!E179)=0,"0",'Pl 2014-17 PFC'!E179)</f>
        <v>0</v>
      </c>
      <c r="F179" s="496" t="str">
        <f>IF(('Pl 2014-17 PFC'!F179)=0,"0",'Pl 2014-17 PFC'!F179)</f>
        <v>0</v>
      </c>
      <c r="G179" s="496" t="str">
        <f>IF(('Pl 2014-17 PFC'!G179)=0,"0",'Pl 2014-17 PFC'!G179)</f>
        <v>0</v>
      </c>
      <c r="H179" s="496" t="str">
        <f>IF(('Pl 2014-17 PFC'!H179)=0,"0",'Pl 2014-17 PFC'!H179)</f>
        <v>0</v>
      </c>
      <c r="I179" s="496">
        <f>'Pl 2014-17 PFC'!J179</f>
        <v>0</v>
      </c>
      <c r="J179" s="496">
        <f>'Pl 2014-17 PFC'!K179</f>
        <v>0</v>
      </c>
    </row>
    <row r="180" spans="1:38" hidden="1" x14ac:dyDescent="0.25">
      <c r="A180" s="1049"/>
      <c r="B180" s="554" t="s">
        <v>419</v>
      </c>
      <c r="C180" s="521"/>
      <c r="D180" s="496" t="str">
        <f>IF(('Pl 2014-17 PFC'!D180)=0,"0",'Pl 2014-17 PFC'!D180)</f>
        <v>0</v>
      </c>
      <c r="E180" s="496" t="str">
        <f>IF(('Pl 2014-17 PFC'!E180)=0,"0",'Pl 2014-17 PFC'!E180)</f>
        <v>0</v>
      </c>
      <c r="F180" s="496" t="str">
        <f>IF(('Pl 2014-17 PFC'!F180)=0,"0",'Pl 2014-17 PFC'!F180)</f>
        <v>0</v>
      </c>
      <c r="G180" s="496" t="str">
        <f>IF(('Pl 2014-17 PFC'!G180)=0,"0",'Pl 2014-17 PFC'!G180)</f>
        <v>0</v>
      </c>
      <c r="H180" s="496" t="str">
        <f>IF(('Pl 2014-17 PFC'!H180)=0,"0",'Pl 2014-17 PFC'!H180)</f>
        <v>0</v>
      </c>
      <c r="I180" s="496">
        <f>'Pl 2014-17 PFC'!J180</f>
        <v>0</v>
      </c>
      <c r="J180" s="496">
        <f>'Pl 2014-17 PFC'!K180</f>
        <v>0</v>
      </c>
    </row>
    <row r="181" spans="1:38" hidden="1" x14ac:dyDescent="0.25">
      <c r="A181" s="1049"/>
      <c r="B181" s="554" t="s">
        <v>176</v>
      </c>
      <c r="C181" s="521"/>
      <c r="D181" s="496">
        <f>IF(('Pl 2014-17 PFC'!D181)=0,"0",'Pl 2014-17 PFC'!D181)</f>
        <v>30</v>
      </c>
      <c r="E181" s="496" t="str">
        <f>IF(('Pl 2014-17 PFC'!E181)=0,"0",'Pl 2014-17 PFC'!E181)</f>
        <v>0</v>
      </c>
      <c r="F181" s="496" t="str">
        <f>IF(('Pl 2014-17 PFC'!F181)=0,"0",'Pl 2014-17 PFC'!F181)</f>
        <v>0</v>
      </c>
      <c r="G181" s="496" t="str">
        <f>IF(('Pl 2014-17 PFC'!G181)=0,"0",'Pl 2014-17 PFC'!G181)</f>
        <v>0</v>
      </c>
      <c r="H181" s="496" t="str">
        <f>IF(('Pl 2014-17 PFC'!H181)=0,"0",'Pl 2014-17 PFC'!H181)</f>
        <v>0</v>
      </c>
      <c r="I181" s="496">
        <f>'Pl 2014-17 PFC'!J181</f>
        <v>0</v>
      </c>
      <c r="J181" s="496">
        <f>'Pl 2014-17 PFC'!K181</f>
        <v>0</v>
      </c>
    </row>
    <row r="182" spans="1:38" hidden="1" x14ac:dyDescent="0.25">
      <c r="A182" s="1049"/>
      <c r="B182" s="554" t="s">
        <v>171</v>
      </c>
      <c r="C182" s="521"/>
      <c r="D182" s="496" t="str">
        <f>IF(('Pl 2014-17 PFC'!D182)=0,"0",'Pl 2014-17 PFC'!D182)</f>
        <v>0</v>
      </c>
      <c r="E182" s="496" t="str">
        <f>IF(('Pl 2014-17 PFC'!E182)=0,"0",'Pl 2014-17 PFC'!E182)</f>
        <v>0</v>
      </c>
      <c r="F182" s="496" t="str">
        <f>IF(('Pl 2014-17 PFC'!F182)=0,"0",'Pl 2014-17 PFC'!F182)</f>
        <v>0</v>
      </c>
      <c r="G182" s="496" t="str">
        <f>IF(('Pl 2014-17 PFC'!G182)=0,"0",'Pl 2014-17 PFC'!G182)</f>
        <v>0</v>
      </c>
      <c r="H182" s="496" t="str">
        <f>IF(('Pl 2014-17 PFC'!H182)=0,"0",'Pl 2014-17 PFC'!H182)</f>
        <v>0</v>
      </c>
      <c r="I182" s="496">
        <f>'Pl 2014-17 PFC'!J182</f>
        <v>0</v>
      </c>
      <c r="J182" s="496">
        <f>'Pl 2014-17 PFC'!K182</f>
        <v>0</v>
      </c>
    </row>
    <row r="183" spans="1:38" hidden="1" x14ac:dyDescent="0.25">
      <c r="A183" s="1049"/>
      <c r="B183" s="554" t="s">
        <v>205</v>
      </c>
      <c r="C183" s="521"/>
      <c r="D183" s="496" t="str">
        <f>IF(('Pl 2014-17 PFC'!D183)=0,"0",'Pl 2014-17 PFC'!D183)</f>
        <v>0</v>
      </c>
      <c r="E183" s="496" t="str">
        <f>IF(('Pl 2014-17 PFC'!E183)=0,"0",'Pl 2014-17 PFC'!E183)</f>
        <v>0</v>
      </c>
      <c r="F183" s="496" t="str">
        <f>IF(('Pl 2014-17 PFC'!F183)=0,"0",'Pl 2014-17 PFC'!F183)</f>
        <v>0</v>
      </c>
      <c r="G183" s="496" t="str">
        <f>IF(('Pl 2014-17 PFC'!G183)=0,"0",'Pl 2014-17 PFC'!G183)</f>
        <v>0</v>
      </c>
      <c r="H183" s="496" t="str">
        <f>IF(('Pl 2014-17 PFC'!H183)=0,"0",'Pl 2014-17 PFC'!H183)</f>
        <v>0</v>
      </c>
      <c r="I183" s="496">
        <f>'Pl 2014-17 PFC'!J183</f>
        <v>0</v>
      </c>
      <c r="J183" s="496">
        <f>'Pl 2014-17 PFC'!K183</f>
        <v>0</v>
      </c>
    </row>
    <row r="184" spans="1:38" hidden="1" x14ac:dyDescent="0.25">
      <c r="A184" s="1049"/>
      <c r="B184" s="554" t="s">
        <v>334</v>
      </c>
      <c r="C184" s="521"/>
      <c r="D184" s="496" t="str">
        <f>IF(('Pl 2014-17 PFC'!D184)=0,"0",'Pl 2014-17 PFC'!D184)</f>
        <v>0</v>
      </c>
      <c r="E184" s="496" t="str">
        <f>IF(('Pl 2014-17 PFC'!E184)=0,"0",'Pl 2014-17 PFC'!E184)</f>
        <v>0</v>
      </c>
      <c r="F184" s="496" t="str">
        <f>IF(('Pl 2014-17 PFC'!F184)=0,"0",'Pl 2014-17 PFC'!F184)</f>
        <v>0</v>
      </c>
      <c r="G184" s="496" t="str">
        <f>IF(('Pl 2014-17 PFC'!G184)=0,"0",'Pl 2014-17 PFC'!G184)</f>
        <v>0</v>
      </c>
      <c r="H184" s="496" t="str">
        <f>IF(('Pl 2014-17 PFC'!H184)=0,"0",'Pl 2014-17 PFC'!H184)</f>
        <v>0</v>
      </c>
      <c r="I184" s="496">
        <f>'Pl 2014-17 PFC'!J184</f>
        <v>0</v>
      </c>
      <c r="J184" s="496">
        <f>'Pl 2014-17 PFC'!K184</f>
        <v>0</v>
      </c>
    </row>
    <row r="185" spans="1:38" hidden="1" x14ac:dyDescent="0.25">
      <c r="A185" s="1049"/>
      <c r="B185" s="554" t="s">
        <v>198</v>
      </c>
      <c r="C185" s="521"/>
      <c r="D185" s="496" t="str">
        <f>IF(('Pl 2014-17 PFC'!D185)=0,"0",'Pl 2014-17 PFC'!D185)</f>
        <v>0</v>
      </c>
      <c r="E185" s="496" t="str">
        <f>IF(('Pl 2014-17 PFC'!E185)=0,"0",'Pl 2014-17 PFC'!E185)</f>
        <v>0</v>
      </c>
      <c r="F185" s="496" t="str">
        <f>IF(('Pl 2014-17 PFC'!F185)=0,"0",'Pl 2014-17 PFC'!F185)</f>
        <v>0</v>
      </c>
      <c r="G185" s="496" t="str">
        <f>IF(('Pl 2014-17 PFC'!G185)=0,"0",'Pl 2014-17 PFC'!G185)</f>
        <v>0</v>
      </c>
      <c r="H185" s="496" t="str">
        <f>IF(('Pl 2014-17 PFC'!H185)=0,"0",'Pl 2014-17 PFC'!H185)</f>
        <v>0</v>
      </c>
      <c r="I185" s="496">
        <f>'Pl 2014-17 PFC'!J185</f>
        <v>0</v>
      </c>
      <c r="J185" s="496">
        <f>'Pl 2014-17 PFC'!K185</f>
        <v>0</v>
      </c>
    </row>
    <row r="186" spans="1:38" hidden="1" x14ac:dyDescent="0.25">
      <c r="A186" s="1049"/>
      <c r="B186" s="554" t="s">
        <v>420</v>
      </c>
      <c r="C186" s="521"/>
      <c r="D186" s="496" t="str">
        <f>IF(('Pl 2014-17 PFC'!D186)=0,"0",'Pl 2014-17 PFC'!D186)</f>
        <v>0</v>
      </c>
      <c r="E186" s="496" t="str">
        <f>IF(('Pl 2014-17 PFC'!E186)=0,"0",'Pl 2014-17 PFC'!E186)</f>
        <v>0</v>
      </c>
      <c r="F186" s="496" t="str">
        <f>IF(('Pl 2014-17 PFC'!F186)=0,"0",'Pl 2014-17 PFC'!F186)</f>
        <v>0</v>
      </c>
      <c r="G186" s="496" t="str">
        <f>IF(('Pl 2014-17 PFC'!G186)=0,"0",'Pl 2014-17 PFC'!G186)</f>
        <v>0</v>
      </c>
      <c r="H186" s="496" t="str">
        <f>IF(('Pl 2014-17 PFC'!H186)=0,"0",'Pl 2014-17 PFC'!H186)</f>
        <v>0</v>
      </c>
      <c r="I186" s="496">
        <f>'Pl 2014-17 PFC'!J186</f>
        <v>0</v>
      </c>
      <c r="J186" s="496">
        <f>'Pl 2014-17 PFC'!K186</f>
        <v>0</v>
      </c>
    </row>
    <row r="187" spans="1:38" hidden="1" x14ac:dyDescent="0.25">
      <c r="A187" s="1049"/>
      <c r="B187" s="554"/>
      <c r="C187" s="521"/>
      <c r="D187" s="496"/>
      <c r="E187" s="496"/>
      <c r="F187" s="496"/>
      <c r="G187" s="496"/>
      <c r="H187" s="496"/>
      <c r="I187" s="496">
        <f>'Pl 2014-17 PFC'!J187</f>
        <v>0</v>
      </c>
      <c r="J187" s="496">
        <f>'Pl 2014-17 PFC'!K187</f>
        <v>0</v>
      </c>
    </row>
    <row r="188" spans="1:38" x14ac:dyDescent="0.25">
      <c r="A188" s="1049" t="s">
        <v>208</v>
      </c>
      <c r="B188" s="554" t="s">
        <v>421</v>
      </c>
      <c r="C188" s="521" t="s">
        <v>210</v>
      </c>
      <c r="D188" s="496">
        <f>SUM(D189:D189)</f>
        <v>3576</v>
      </c>
      <c r="E188" s="496">
        <f>SUM(E189:E189)</f>
        <v>3661</v>
      </c>
      <c r="F188" s="496">
        <f>SUM(F189:F189)</f>
        <v>3752</v>
      </c>
      <c r="G188" s="496">
        <f>SUM(G189:G189)</f>
        <v>3845</v>
      </c>
      <c r="H188" s="496">
        <f>SUM(H189:H189)</f>
        <v>3941</v>
      </c>
      <c r="I188" s="496">
        <f>'Pl 2014-17 PFC'!J188</f>
        <v>0</v>
      </c>
      <c r="J188" s="496">
        <f>'Pl 2014-17 PFC'!K188</f>
        <v>3661</v>
      </c>
    </row>
    <row r="189" spans="1:38" hidden="1" x14ac:dyDescent="0.25">
      <c r="A189" s="1049"/>
      <c r="B189" s="563" t="s">
        <v>211</v>
      </c>
      <c r="C189" s="521" t="s">
        <v>210</v>
      </c>
      <c r="D189" s="496">
        <f>IF(('Pl 2014-17 PFC'!D189)=0,"0",'Pl 2014-17 PFC'!D189)</f>
        <v>3576</v>
      </c>
      <c r="E189" s="496">
        <f>IF(('Pl 2014-17 PFC'!E189)=0,"0",'Pl 2014-17 PFC'!E189)</f>
        <v>3661</v>
      </c>
      <c r="F189" s="496">
        <f>IF(('Pl 2014-17 PFC'!F189)=0,"0",'Pl 2014-17 PFC'!F189)</f>
        <v>3752</v>
      </c>
      <c r="G189" s="496">
        <f>IF(('Pl 2014-17 PFC'!G189)=0,"0",'Pl 2014-17 PFC'!G189)</f>
        <v>3845</v>
      </c>
      <c r="H189" s="496">
        <f>IF(('Pl 2014-17 PFC'!H189)=0,"0",'Pl 2014-17 PFC'!H189)</f>
        <v>3941</v>
      </c>
      <c r="I189" s="496">
        <f>'Pl 2014-17 PFC'!J189</f>
        <v>0</v>
      </c>
      <c r="J189" s="496">
        <f>'Pl 2014-17 PFC'!K189</f>
        <v>3661</v>
      </c>
    </row>
    <row r="190" spans="1:38" hidden="1" x14ac:dyDescent="0.25">
      <c r="A190" s="1049"/>
      <c r="B190" s="559"/>
      <c r="C190" s="521"/>
      <c r="D190" s="496"/>
      <c r="E190" s="496"/>
      <c r="F190" s="496"/>
      <c r="G190" s="496"/>
      <c r="H190" s="496"/>
      <c r="I190" s="496">
        <f>'Pl 2014-17 PFC'!J190</f>
        <v>0</v>
      </c>
      <c r="J190" s="496">
        <f>'Pl 2014-17 PFC'!K190</f>
        <v>0</v>
      </c>
    </row>
    <row r="191" spans="1:38" x14ac:dyDescent="0.25">
      <c r="A191" s="1049" t="s">
        <v>666</v>
      </c>
      <c r="B191" s="554" t="s">
        <v>212</v>
      </c>
      <c r="C191" s="521" t="s">
        <v>87</v>
      </c>
      <c r="D191" s="496">
        <f>SUM(D192)</f>
        <v>61494</v>
      </c>
      <c r="E191" s="496">
        <f>SUM(E192)</f>
        <v>60990</v>
      </c>
      <c r="F191" s="496">
        <f>SUM(F192)</f>
        <v>4409</v>
      </c>
      <c r="G191" s="496">
        <f>SUM(G192)</f>
        <v>0</v>
      </c>
      <c r="H191" s="496">
        <f>SUM(H192)</f>
        <v>0</v>
      </c>
      <c r="I191" s="496">
        <f>'Pl 2014-17 PFC'!J191</f>
        <v>0</v>
      </c>
      <c r="J191" s="496">
        <f>'Pl 2014-17 PFC'!K191</f>
        <v>60990</v>
      </c>
    </row>
    <row r="192" spans="1:38" s="491" customFormat="1" hidden="1" x14ac:dyDescent="0.25">
      <c r="A192" s="1049"/>
      <c r="B192" s="539" t="s">
        <v>147</v>
      </c>
      <c r="C192" s="521" t="s">
        <v>87</v>
      </c>
      <c r="D192" s="496">
        <f>SUM(D193:D194)</f>
        <v>61494</v>
      </c>
      <c r="E192" s="496">
        <f>SUM(E193:E194)</f>
        <v>60990</v>
      </c>
      <c r="F192" s="496">
        <f>SUM(F193:F194)</f>
        <v>4409</v>
      </c>
      <c r="G192" s="496">
        <f>SUM(G193:G194)</f>
        <v>0</v>
      </c>
      <c r="H192" s="496">
        <f>SUM(H193:H194)</f>
        <v>0</v>
      </c>
      <c r="I192" s="496">
        <f>'Pl 2014-17 PFC'!J192</f>
        <v>0</v>
      </c>
      <c r="J192" s="496">
        <f>'Pl 2014-17 PFC'!K192</f>
        <v>60990</v>
      </c>
      <c r="K192" s="488"/>
      <c r="L192" s="488"/>
      <c r="M192" s="488"/>
      <c r="N192" s="488"/>
      <c r="O192" s="488"/>
      <c r="P192" s="488"/>
      <c r="Q192" s="488"/>
      <c r="R192" s="488"/>
      <c r="S192" s="488"/>
      <c r="T192" s="488"/>
      <c r="U192" s="488"/>
      <c r="V192" s="488"/>
      <c r="W192" s="488"/>
      <c r="X192" s="488"/>
      <c r="Y192" s="488"/>
      <c r="Z192" s="488"/>
      <c r="AA192" s="488"/>
      <c r="AB192" s="488"/>
      <c r="AC192" s="488"/>
      <c r="AD192" s="488"/>
      <c r="AE192" s="488"/>
      <c r="AF192" s="488"/>
      <c r="AG192" s="488"/>
      <c r="AH192" s="488"/>
      <c r="AI192" s="488"/>
      <c r="AJ192" s="488"/>
      <c r="AK192" s="490"/>
      <c r="AL192" s="490"/>
    </row>
    <row r="193" spans="1:38" s="491" customFormat="1" hidden="1" x14ac:dyDescent="0.25">
      <c r="A193" s="1049"/>
      <c r="B193" s="556" t="s">
        <v>213</v>
      </c>
      <c r="C193" s="521" t="s">
        <v>214</v>
      </c>
      <c r="D193" s="496">
        <f>IF(('Pl 2014-17 PFC'!D193)=0,"",'Pl 2014-17 PFC'!D193)</f>
        <v>61494</v>
      </c>
      <c r="E193" s="496">
        <f>IF(('Pl 2014-17 PFC'!E193)=0,"",'Pl 2014-17 PFC'!E193)</f>
        <v>60990</v>
      </c>
      <c r="F193" s="496">
        <f>IF(('Pl 2014-17 PFC'!F193)=0,"",'Pl 2014-17 PFC'!F193)</f>
        <v>4409</v>
      </c>
      <c r="G193" s="496" t="str">
        <f>IF(('Pl 2014-17 PFC'!G193)=0,"",'Pl 2014-17 PFC'!G193)</f>
        <v/>
      </c>
      <c r="H193" s="496" t="str">
        <f>IF(('Pl 2014-17 PFC'!H193)=0,"",'Pl 2014-17 PFC'!H193)</f>
        <v/>
      </c>
      <c r="I193" s="496">
        <f>'Pl 2014-17 PFC'!J193</f>
        <v>0</v>
      </c>
      <c r="J193" s="496">
        <f>'Pl 2014-17 PFC'!K193</f>
        <v>60990</v>
      </c>
      <c r="K193" s="488"/>
      <c r="L193" s="488"/>
      <c r="M193" s="488"/>
      <c r="N193" s="488"/>
      <c r="O193" s="488"/>
      <c r="P193" s="488"/>
      <c r="Q193" s="488"/>
      <c r="R193" s="488"/>
      <c r="S193" s="488"/>
      <c r="T193" s="488"/>
      <c r="U193" s="488"/>
      <c r="V193" s="488"/>
      <c r="W193" s="488"/>
      <c r="X193" s="488"/>
      <c r="Y193" s="488"/>
      <c r="Z193" s="488"/>
      <c r="AA193" s="488"/>
      <c r="AB193" s="488"/>
      <c r="AC193" s="488"/>
      <c r="AD193" s="488"/>
      <c r="AE193" s="488"/>
      <c r="AF193" s="488"/>
      <c r="AG193" s="488"/>
      <c r="AH193" s="488"/>
      <c r="AI193" s="488"/>
      <c r="AJ193" s="488"/>
      <c r="AK193" s="490"/>
      <c r="AL193" s="490"/>
    </row>
    <row r="194" spans="1:38" s="491" customFormat="1" hidden="1" x14ac:dyDescent="0.25">
      <c r="A194" s="1049"/>
      <c r="B194" s="556" t="s">
        <v>215</v>
      </c>
      <c r="C194" s="521" t="s">
        <v>216</v>
      </c>
      <c r="D194" s="496" t="str">
        <f>IF(('Pl 2014-17 PFC'!D194)=0,"",'Pl 2014-17 PFC'!D194)</f>
        <v/>
      </c>
      <c r="E194" s="496" t="str">
        <f>IF(('Pl 2014-17 PFC'!E194)=0,"",'Pl 2014-17 PFC'!E194)</f>
        <v/>
      </c>
      <c r="F194" s="496" t="str">
        <f>IF(('Pl 2014-17 PFC'!F194)=0,"",'Pl 2014-17 PFC'!F194)</f>
        <v/>
      </c>
      <c r="G194" s="496" t="str">
        <f>IF(('Pl 2014-17 PFC'!G194)=0,"",'Pl 2014-17 PFC'!G194)</f>
        <v/>
      </c>
      <c r="H194" s="496" t="str">
        <f>IF(('Pl 2014-17 PFC'!H194)=0,"",'Pl 2014-17 PFC'!H194)</f>
        <v/>
      </c>
      <c r="I194" s="496">
        <f>'Pl 2014-17 PFC'!J194</f>
        <v>0</v>
      </c>
      <c r="J194" s="496">
        <f>'Pl 2014-17 PFC'!K194</f>
        <v>0</v>
      </c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  <c r="V194" s="488"/>
      <c r="W194" s="488"/>
      <c r="X194" s="488"/>
      <c r="Y194" s="488"/>
      <c r="Z194" s="488"/>
      <c r="AA194" s="488"/>
      <c r="AB194" s="488"/>
      <c r="AC194" s="488"/>
      <c r="AD194" s="488"/>
      <c r="AE194" s="488"/>
      <c r="AF194" s="488"/>
      <c r="AG194" s="488"/>
      <c r="AH194" s="488"/>
      <c r="AI194" s="488"/>
      <c r="AJ194" s="488"/>
      <c r="AK194" s="490"/>
      <c r="AL194" s="490"/>
    </row>
    <row r="195" spans="1:38" hidden="1" x14ac:dyDescent="0.25">
      <c r="A195" s="1049"/>
      <c r="B195" s="561"/>
      <c r="C195" s="521"/>
      <c r="D195" s="496"/>
      <c r="E195" s="496"/>
      <c r="F195" s="496"/>
      <c r="G195" s="496"/>
      <c r="H195" s="496"/>
      <c r="I195" s="496">
        <f>'Pl 2014-17 PFC'!J195</f>
        <v>0</v>
      </c>
      <c r="J195" s="496">
        <f>'Pl 2014-17 PFC'!K195</f>
        <v>0</v>
      </c>
    </row>
    <row r="196" spans="1:38" x14ac:dyDescent="0.25">
      <c r="A196" s="1049" t="s">
        <v>663</v>
      </c>
      <c r="B196" s="554" t="s">
        <v>422</v>
      </c>
      <c r="C196" s="521" t="s">
        <v>87</v>
      </c>
      <c r="D196" s="496" t="e">
        <f>SUM(D198,D199,D202,D204,D209,D211,D249)</f>
        <v>#REF!</v>
      </c>
      <c r="E196" s="496">
        <f>SUM(E198,E199,E202,E204,E209,E211,E249)</f>
        <v>316989</v>
      </c>
      <c r="F196" s="496">
        <f>SUM(F198,F199,F202,F204,F209,F211,F249)</f>
        <v>296018</v>
      </c>
      <c r="G196" s="496">
        <f>SUM(G198,G199,G202,G204,G209,G211,G249)</f>
        <v>287720</v>
      </c>
      <c r="H196" s="496">
        <f>SUM(H198,H199,H202,H204,H209,H211,H249)</f>
        <v>288765</v>
      </c>
      <c r="I196" s="496">
        <f>'Pl 2014-17 PFC'!J196</f>
        <v>0</v>
      </c>
      <c r="J196" s="496">
        <f>'Pl 2014-17 PFC'!K196</f>
        <v>316989</v>
      </c>
    </row>
    <row r="197" spans="1:38" x14ac:dyDescent="0.25">
      <c r="A197" s="1049" t="s">
        <v>93</v>
      </c>
      <c r="B197" s="554" t="s">
        <v>423</v>
      </c>
      <c r="C197" s="521" t="s">
        <v>87</v>
      </c>
      <c r="D197" s="496">
        <f>SUM(D198:D199)</f>
        <v>53482</v>
      </c>
      <c r="E197" s="496">
        <f>SUM(E198:E199)</f>
        <v>53482</v>
      </c>
      <c r="F197" s="496">
        <f>SUM(F198:F199)</f>
        <v>53484</v>
      </c>
      <c r="G197" s="496">
        <f>SUM(G198:G199)</f>
        <v>53486</v>
      </c>
      <c r="H197" s="496">
        <f>SUM(H198:H199)</f>
        <v>53488</v>
      </c>
      <c r="I197" s="496">
        <f>'Pl 2014-17 PFC'!J197</f>
        <v>0</v>
      </c>
      <c r="J197" s="496">
        <f>'Pl 2014-17 PFC'!K197</f>
        <v>53482</v>
      </c>
    </row>
    <row r="198" spans="1:38" x14ac:dyDescent="0.25">
      <c r="A198" s="1049" t="s">
        <v>219</v>
      </c>
      <c r="B198" s="554" t="s">
        <v>424</v>
      </c>
      <c r="C198" s="521" t="s">
        <v>221</v>
      </c>
      <c r="D198" s="496">
        <f>D201</f>
        <v>52282</v>
      </c>
      <c r="E198" s="496">
        <f>E201</f>
        <v>52282</v>
      </c>
      <c r="F198" s="496">
        <f>F201</f>
        <v>52283</v>
      </c>
      <c r="G198" s="496">
        <f>G201</f>
        <v>52284</v>
      </c>
      <c r="H198" s="496">
        <f>H201</f>
        <v>52285</v>
      </c>
      <c r="I198" s="496">
        <f>'Pl 2014-17 PFC'!J198</f>
        <v>0</v>
      </c>
      <c r="J198" s="496">
        <f>'Pl 2014-17 PFC'!K198</f>
        <v>52282</v>
      </c>
    </row>
    <row r="199" spans="1:38" x14ac:dyDescent="0.25">
      <c r="A199" s="1049" t="s">
        <v>222</v>
      </c>
      <c r="B199" s="554" t="s">
        <v>425</v>
      </c>
      <c r="C199" s="521" t="s">
        <v>224</v>
      </c>
      <c r="D199" s="496">
        <f t="shared" ref="D199:J199" si="45">D207</f>
        <v>1200</v>
      </c>
      <c r="E199" s="496">
        <f t="shared" si="45"/>
        <v>1200</v>
      </c>
      <c r="F199" s="496">
        <f t="shared" si="45"/>
        <v>1201</v>
      </c>
      <c r="G199" s="496">
        <f t="shared" si="45"/>
        <v>1202</v>
      </c>
      <c r="H199" s="496">
        <f t="shared" si="45"/>
        <v>1203</v>
      </c>
      <c r="I199" s="496">
        <f t="shared" si="45"/>
        <v>0</v>
      </c>
      <c r="J199" s="496">
        <f t="shared" si="45"/>
        <v>1200</v>
      </c>
    </row>
    <row r="200" spans="1:38" hidden="1" x14ac:dyDescent="0.25">
      <c r="A200" s="1049" t="s">
        <v>93</v>
      </c>
      <c r="B200" s="554" t="s">
        <v>426</v>
      </c>
      <c r="C200" s="521" t="s">
        <v>427</v>
      </c>
      <c r="D200" s="496">
        <f t="shared" ref="D200:J200" si="46">SUM(D201:D201)</f>
        <v>52282</v>
      </c>
      <c r="E200" s="496">
        <f t="shared" si="46"/>
        <v>52282</v>
      </c>
      <c r="F200" s="496">
        <f t="shared" si="46"/>
        <v>52283</v>
      </c>
      <c r="G200" s="496">
        <f t="shared" si="46"/>
        <v>52284</v>
      </c>
      <c r="H200" s="496">
        <f t="shared" si="46"/>
        <v>52285</v>
      </c>
      <c r="I200" s="496">
        <f t="shared" si="46"/>
        <v>0</v>
      </c>
      <c r="J200" s="496">
        <f t="shared" si="46"/>
        <v>52282</v>
      </c>
    </row>
    <row r="201" spans="1:38" hidden="1" x14ac:dyDescent="0.25">
      <c r="A201" s="1049" t="s">
        <v>219</v>
      </c>
      <c r="B201" s="554" t="s">
        <v>150</v>
      </c>
      <c r="C201" s="521" t="s">
        <v>428</v>
      </c>
      <c r="D201" s="496">
        <f>IF(('Pl 2014-17 PFC'!D199)=0,"",'Pl 2014-17 PFC'!D199)</f>
        <v>52282</v>
      </c>
      <c r="E201" s="496">
        <f>IF(('Pl 2014-17 PFC'!E199)=0,"",'Pl 2014-17 PFC'!E199)</f>
        <v>52282</v>
      </c>
      <c r="F201" s="496">
        <f>IF(('Pl 2014-17 PFC'!F199)=0,"",'Pl 2014-17 PFC'!F199)</f>
        <v>52283</v>
      </c>
      <c r="G201" s="496">
        <f>IF(('Pl 2014-17 PFC'!G199)=0,"",'Pl 2014-17 PFC'!G199)</f>
        <v>52284</v>
      </c>
      <c r="H201" s="496">
        <f>IF(('Pl 2014-17 PFC'!H199)=0,"",'Pl 2014-17 PFC'!H199)</f>
        <v>52285</v>
      </c>
      <c r="I201" s="496">
        <f>'Pl 2014-17 PFC'!J199</f>
        <v>0</v>
      </c>
      <c r="J201" s="496">
        <f>'Pl 2014-17 PFC'!K199</f>
        <v>52282</v>
      </c>
    </row>
    <row r="202" spans="1:38" x14ac:dyDescent="0.25">
      <c r="A202" s="1049" t="s">
        <v>95</v>
      </c>
      <c r="B202" s="554" t="s">
        <v>429</v>
      </c>
      <c r="C202" s="521" t="s">
        <v>227</v>
      </c>
      <c r="D202" s="496">
        <f t="shared" ref="D202:J202" si="47">SUM(D203:D203)</f>
        <v>9444</v>
      </c>
      <c r="E202" s="496">
        <f t="shared" si="47"/>
        <v>9392</v>
      </c>
      <c r="F202" s="496">
        <f t="shared" si="47"/>
        <v>9393</v>
      </c>
      <c r="G202" s="496">
        <f t="shared" si="47"/>
        <v>9394</v>
      </c>
      <c r="H202" s="496">
        <f t="shared" si="47"/>
        <v>9395</v>
      </c>
      <c r="I202" s="496">
        <f t="shared" si="47"/>
        <v>0</v>
      </c>
      <c r="J202" s="496">
        <f t="shared" si="47"/>
        <v>9392</v>
      </c>
    </row>
    <row r="203" spans="1:38" hidden="1" x14ac:dyDescent="0.25">
      <c r="A203" s="1049" t="s">
        <v>430</v>
      </c>
      <c r="B203" s="554" t="s">
        <v>150</v>
      </c>
      <c r="C203" s="521" t="s">
        <v>227</v>
      </c>
      <c r="D203" s="496">
        <f>IF(('Pl 2014-17 PFC'!D203)=0,"",'Pl 2014-17 PFC'!D203)</f>
        <v>9444</v>
      </c>
      <c r="E203" s="496">
        <f>IF(('Pl 2014-17 PFC'!E203)=0,"",'Pl 2014-17 PFC'!E203)</f>
        <v>9392</v>
      </c>
      <c r="F203" s="496">
        <f>IF(('Pl 2014-17 PFC'!F203)=0,"",'Pl 2014-17 PFC'!F203)</f>
        <v>9393</v>
      </c>
      <c r="G203" s="496">
        <f>IF(('Pl 2014-17 PFC'!G203)=0,"",'Pl 2014-17 PFC'!G203)</f>
        <v>9394</v>
      </c>
      <c r="H203" s="496">
        <f>IF(('Pl 2014-17 PFC'!H203)=0,"",'Pl 2014-17 PFC'!H203)</f>
        <v>9395</v>
      </c>
      <c r="I203" s="496">
        <f>'Pl 2014-17 PFC'!J203</f>
        <v>0</v>
      </c>
      <c r="J203" s="496">
        <f>'Pl 2014-17 PFC'!K203</f>
        <v>9392</v>
      </c>
    </row>
    <row r="204" spans="1:38" x14ac:dyDescent="0.25">
      <c r="A204" s="1049" t="s">
        <v>225</v>
      </c>
      <c r="B204" s="554" t="s">
        <v>431</v>
      </c>
      <c r="C204" s="521" t="s">
        <v>230</v>
      </c>
      <c r="D204" s="496">
        <f>SUM(D205:D205)</f>
        <v>1327</v>
      </c>
      <c r="E204" s="496">
        <f>SUM(E205:E205)</f>
        <v>1311</v>
      </c>
      <c r="F204" s="496">
        <f>SUM(F205:F205)</f>
        <v>1312</v>
      </c>
      <c r="G204" s="496">
        <f>SUM(G205:G205)</f>
        <v>1313</v>
      </c>
      <c r="H204" s="496">
        <f>SUM(H205:H205)</f>
        <v>1314</v>
      </c>
      <c r="I204" s="496">
        <f>'Pl 2014-17 PFC'!J204</f>
        <v>0</v>
      </c>
      <c r="J204" s="496">
        <f>'Pl 2014-17 PFC'!K204</f>
        <v>1311</v>
      </c>
    </row>
    <row r="205" spans="1:38" hidden="1" x14ac:dyDescent="0.25">
      <c r="A205" s="1049" t="s">
        <v>432</v>
      </c>
      <c r="B205" s="554" t="s">
        <v>150</v>
      </c>
      <c r="C205" s="521" t="s">
        <v>230</v>
      </c>
      <c r="D205" s="496">
        <f>IF(('Pl 2014-17 PFC'!D205)=0,"",'Pl 2014-17 PFC'!D205)</f>
        <v>1327</v>
      </c>
      <c r="E205" s="496">
        <f>IF(('Pl 2014-17 PFC'!E205)=0,"",'Pl 2014-17 PFC'!E205)</f>
        <v>1311</v>
      </c>
      <c r="F205" s="496">
        <f>IF(('Pl 2014-17 PFC'!F205)=0,"",'Pl 2014-17 PFC'!F205)</f>
        <v>1312</v>
      </c>
      <c r="G205" s="496">
        <f>IF(('Pl 2014-17 PFC'!G205)=0,"",'Pl 2014-17 PFC'!G205)</f>
        <v>1313</v>
      </c>
      <c r="H205" s="496">
        <f>IF(('Pl 2014-17 PFC'!H205)=0,"",'Pl 2014-17 PFC'!H205)</f>
        <v>1314</v>
      </c>
      <c r="I205" s="496">
        <f>'Pl 2014-17 PFC'!J205</f>
        <v>0</v>
      </c>
      <c r="J205" s="496">
        <f>'Pl 2014-17 PFC'!K205</f>
        <v>1311</v>
      </c>
    </row>
    <row r="206" spans="1:38" hidden="1" x14ac:dyDescent="0.25">
      <c r="A206" s="1049" t="s">
        <v>228</v>
      </c>
      <c r="B206" s="554" t="s">
        <v>433</v>
      </c>
      <c r="C206" s="521" t="s">
        <v>224</v>
      </c>
      <c r="D206" s="496">
        <f t="shared" ref="D206:J206" si="48">SUM(D207:D207)</f>
        <v>1200</v>
      </c>
      <c r="E206" s="496">
        <f t="shared" si="48"/>
        <v>1200</v>
      </c>
      <c r="F206" s="496">
        <f t="shared" si="48"/>
        <v>1201</v>
      </c>
      <c r="G206" s="496">
        <f t="shared" si="48"/>
        <v>1202</v>
      </c>
      <c r="H206" s="496">
        <f t="shared" si="48"/>
        <v>1203</v>
      </c>
      <c r="I206" s="496">
        <f t="shared" si="48"/>
        <v>0</v>
      </c>
      <c r="J206" s="496">
        <f t="shared" si="48"/>
        <v>1200</v>
      </c>
    </row>
    <row r="207" spans="1:38" hidden="1" x14ac:dyDescent="0.25">
      <c r="A207" s="1049" t="s">
        <v>434</v>
      </c>
      <c r="B207" s="554" t="s">
        <v>150</v>
      </c>
      <c r="C207" s="521" t="s">
        <v>224</v>
      </c>
      <c r="D207" s="496">
        <f>IF(('Pl 2014-17 PFC'!D201)=0,"",'Pl 2014-17 PFC'!D201)</f>
        <v>1200</v>
      </c>
      <c r="E207" s="496">
        <f>IF(('Pl 2014-17 PFC'!E201)=0,"",'Pl 2014-17 PFC'!E201)</f>
        <v>1200</v>
      </c>
      <c r="F207" s="496">
        <f>IF(('Pl 2014-17 PFC'!F201)=0,"",'Pl 2014-17 PFC'!F201)</f>
        <v>1201</v>
      </c>
      <c r="G207" s="496">
        <f>IF(('Pl 2014-17 PFC'!G201)=0,"",'Pl 2014-17 PFC'!G201)</f>
        <v>1202</v>
      </c>
      <c r="H207" s="496">
        <f>IF(('Pl 2014-17 PFC'!H201)=0,"",'Pl 2014-17 PFC'!H201)</f>
        <v>1203</v>
      </c>
      <c r="I207" s="496">
        <f>'Pl 2014-17 PFC'!J201</f>
        <v>0</v>
      </c>
      <c r="J207" s="496">
        <f>'Pl 2014-17 PFC'!K201</f>
        <v>1200</v>
      </c>
    </row>
    <row r="208" spans="1:38" hidden="1" x14ac:dyDescent="0.25">
      <c r="A208" s="1049"/>
      <c r="B208" s="554" t="str">
        <f>'Pl 2014-17 PFC'!B206</f>
        <v>Pozostałe</v>
      </c>
      <c r="C208" s="521" t="s">
        <v>87</v>
      </c>
      <c r="D208" s="496" t="e">
        <f>D209+D211</f>
        <v>#REF!</v>
      </c>
      <c r="E208" s="496"/>
      <c r="F208" s="496"/>
      <c r="G208" s="496"/>
      <c r="H208" s="496"/>
      <c r="I208" s="496">
        <f>'Pl 2014-17 PFC'!J208</f>
        <v>0</v>
      </c>
      <c r="J208" s="496">
        <f>'Pl 2014-17 PFC'!K208</f>
        <v>0</v>
      </c>
    </row>
    <row r="209" spans="1:38" x14ac:dyDescent="0.25">
      <c r="A209" s="1049" t="s">
        <v>228</v>
      </c>
      <c r="B209" s="554" t="s">
        <v>435</v>
      </c>
      <c r="C209" s="521" t="s">
        <v>235</v>
      </c>
      <c r="D209" s="496">
        <f>'Pl 2014-17 PFC'!D209</f>
        <v>45755</v>
      </c>
      <c r="E209" s="496">
        <f>'Pl 2014-17 PFC'!E209</f>
        <v>46846</v>
      </c>
      <c r="F209" s="496">
        <f>'Pl 2014-17 PFC'!F209</f>
        <v>48006</v>
      </c>
      <c r="G209" s="496">
        <f>'Pl 2014-17 PFC'!G209</f>
        <v>49091</v>
      </c>
      <c r="H209" s="496">
        <f>'Pl 2014-17 PFC'!H209</f>
        <v>50302</v>
      </c>
      <c r="I209" s="496">
        <f>'Pl 2014-17 PFC'!J209</f>
        <v>0</v>
      </c>
      <c r="J209" s="496">
        <f>'Pl 2014-17 PFC'!K209</f>
        <v>46846</v>
      </c>
    </row>
    <row r="210" spans="1:38" x14ac:dyDescent="0.25">
      <c r="A210" s="1049" t="s">
        <v>434</v>
      </c>
      <c r="B210" s="564" t="s">
        <v>436</v>
      </c>
      <c r="C210" s="521" t="s">
        <v>240</v>
      </c>
      <c r="D210" s="496">
        <f t="shared" ref="D210:J210" si="49">D217</f>
        <v>1902</v>
      </c>
      <c r="E210" s="496">
        <f t="shared" si="49"/>
        <v>1947</v>
      </c>
      <c r="F210" s="496">
        <f t="shared" si="49"/>
        <v>1995</v>
      </c>
      <c r="G210" s="496">
        <f t="shared" si="49"/>
        <v>2040</v>
      </c>
      <c r="H210" s="496">
        <f t="shared" si="49"/>
        <v>2090</v>
      </c>
      <c r="I210" s="496" t="str">
        <f t="shared" si="49"/>
        <v>0</v>
      </c>
      <c r="J210" s="496">
        <f t="shared" si="49"/>
        <v>1947</v>
      </c>
    </row>
    <row r="211" spans="1:38" x14ac:dyDescent="0.25">
      <c r="A211" s="1049" t="s">
        <v>231</v>
      </c>
      <c r="B211" s="554" t="s">
        <v>437</v>
      </c>
      <c r="C211" s="521" t="s">
        <v>87</v>
      </c>
      <c r="D211" s="496" t="e">
        <f t="shared" ref="D211:J211" si="50">SUM(D212:D212)</f>
        <v>#REF!</v>
      </c>
      <c r="E211" s="496">
        <f t="shared" si="50"/>
        <v>30958</v>
      </c>
      <c r="F211" s="496">
        <f t="shared" si="50"/>
        <v>8823</v>
      </c>
      <c r="G211" s="496">
        <f t="shared" si="50"/>
        <v>9436</v>
      </c>
      <c r="H211" s="496">
        <f t="shared" si="50"/>
        <v>9266</v>
      </c>
      <c r="I211" s="496">
        <f t="shared" si="50"/>
        <v>0</v>
      </c>
      <c r="J211" s="496">
        <f t="shared" si="50"/>
        <v>30958</v>
      </c>
    </row>
    <row r="212" spans="1:38" hidden="1" x14ac:dyDescent="0.25">
      <c r="A212" s="1049" t="s">
        <v>233</v>
      </c>
      <c r="B212" s="563" t="s">
        <v>150</v>
      </c>
      <c r="C212" s="521" t="s">
        <v>87</v>
      </c>
      <c r="D212" s="496" t="e">
        <f>'Pl 2014-17 PFC'!D220</f>
        <v>#REF!</v>
      </c>
      <c r="E212" s="496">
        <f>'Pl 2014-17 PFC'!E220</f>
        <v>30958</v>
      </c>
      <c r="F212" s="496">
        <f>'Pl 2014-17 PFC'!F220</f>
        <v>8823</v>
      </c>
      <c r="G212" s="496">
        <f>'Pl 2014-17 PFC'!G220</f>
        <v>9436</v>
      </c>
      <c r="H212" s="496">
        <f>'Pl 2014-17 PFC'!H220</f>
        <v>9266</v>
      </c>
      <c r="I212" s="496">
        <f>'Pl 2014-17 PFC'!J220</f>
        <v>0</v>
      </c>
      <c r="J212" s="496">
        <f>'Pl 2014-17 PFC'!K220</f>
        <v>30958</v>
      </c>
    </row>
    <row r="213" spans="1:38" s="568" customFormat="1" hidden="1" x14ac:dyDescent="0.25">
      <c r="A213" s="1049"/>
      <c r="B213" s="565" t="s">
        <v>438</v>
      </c>
      <c r="C213" s="521"/>
      <c r="D213" s="496">
        <f t="shared" ref="D213:J213" si="51">SUM(D214:D214)</f>
        <v>4368</v>
      </c>
      <c r="E213" s="496">
        <f t="shared" si="51"/>
        <v>39342</v>
      </c>
      <c r="F213" s="496">
        <f t="shared" si="51"/>
        <v>40433</v>
      </c>
      <c r="G213" s="496">
        <f t="shared" si="51"/>
        <v>41613</v>
      </c>
      <c r="H213" s="496">
        <f t="shared" si="51"/>
        <v>42741</v>
      </c>
      <c r="I213" s="496">
        <f t="shared" si="51"/>
        <v>0</v>
      </c>
      <c r="J213" s="496">
        <f t="shared" si="51"/>
        <v>39342</v>
      </c>
      <c r="K213" s="566"/>
      <c r="L213" s="566"/>
      <c r="M213" s="566"/>
      <c r="N213" s="566"/>
      <c r="O213" s="566"/>
      <c r="P213" s="566"/>
      <c r="Q213" s="566"/>
      <c r="R213" s="566"/>
      <c r="S213" s="566"/>
      <c r="T213" s="566"/>
      <c r="U213" s="566"/>
      <c r="V213" s="566"/>
      <c r="W213" s="566"/>
      <c r="X213" s="566"/>
      <c r="Y213" s="566"/>
      <c r="Z213" s="566"/>
      <c r="AA213" s="566"/>
      <c r="AB213" s="566"/>
      <c r="AC213" s="566"/>
      <c r="AD213" s="566"/>
      <c r="AE213" s="566"/>
      <c r="AF213" s="566"/>
      <c r="AG213" s="566"/>
      <c r="AH213" s="566"/>
      <c r="AI213" s="566"/>
      <c r="AJ213" s="566"/>
      <c r="AK213" s="567"/>
      <c r="AL213" s="567"/>
    </row>
    <row r="214" spans="1:38" s="568" customFormat="1" hidden="1" x14ac:dyDescent="0.25">
      <c r="A214" s="1049"/>
      <c r="B214" s="569" t="s">
        <v>293</v>
      </c>
      <c r="C214" s="521" t="s">
        <v>87</v>
      </c>
      <c r="D214" s="496">
        <f>SUM(D215:D216)</f>
        <v>4368</v>
      </c>
      <c r="E214" s="496">
        <f t="shared" ref="E214:J214" si="52">SUM(E215,E216:E218,E219)</f>
        <v>39342</v>
      </c>
      <c r="F214" s="496">
        <f t="shared" si="52"/>
        <v>40433</v>
      </c>
      <c r="G214" s="496">
        <f t="shared" si="52"/>
        <v>41613</v>
      </c>
      <c r="H214" s="496">
        <f t="shared" si="52"/>
        <v>42741</v>
      </c>
      <c r="I214" s="496">
        <f t="shared" si="52"/>
        <v>0</v>
      </c>
      <c r="J214" s="496">
        <f t="shared" si="52"/>
        <v>39342</v>
      </c>
      <c r="K214" s="566"/>
      <c r="L214" s="566"/>
      <c r="M214" s="566"/>
      <c r="N214" s="566"/>
      <c r="O214" s="566"/>
      <c r="P214" s="566"/>
      <c r="Q214" s="566"/>
      <c r="R214" s="566"/>
      <c r="S214" s="566"/>
      <c r="T214" s="566"/>
      <c r="U214" s="566"/>
      <c r="V214" s="566"/>
      <c r="W214" s="566"/>
      <c r="X214" s="566"/>
      <c r="Y214" s="566"/>
      <c r="Z214" s="566"/>
      <c r="AA214" s="566"/>
      <c r="AB214" s="566"/>
      <c r="AC214" s="566"/>
      <c r="AD214" s="566"/>
      <c r="AE214" s="566"/>
      <c r="AF214" s="566"/>
      <c r="AG214" s="566"/>
      <c r="AH214" s="566"/>
      <c r="AI214" s="566"/>
      <c r="AJ214" s="566"/>
      <c r="AK214" s="567"/>
      <c r="AL214" s="567"/>
    </row>
    <row r="215" spans="1:38" hidden="1" x14ac:dyDescent="0.25">
      <c r="A215" s="1049"/>
      <c r="B215" s="570" t="s">
        <v>439</v>
      </c>
      <c r="C215" s="521" t="s">
        <v>237</v>
      </c>
      <c r="D215" s="496">
        <f>IF(('Pl 2014-17 PFC'!D210)=0,"",'Pl 2014-17 PFC'!D210)</f>
        <v>2954</v>
      </c>
      <c r="E215" s="496">
        <f>IF(('Pl 2014-17 PFC'!E210)=0,"",'Pl 2014-17 PFC'!E210)</f>
        <v>3020</v>
      </c>
      <c r="F215" s="496">
        <f>IF(('Pl 2014-17 PFC'!F210)=0,"",'Pl 2014-17 PFC'!F210)</f>
        <v>3087</v>
      </c>
      <c r="G215" s="496">
        <f>IF(('Pl 2014-17 PFC'!G210)=0,"",'Pl 2014-17 PFC'!G210)</f>
        <v>3091</v>
      </c>
      <c r="H215" s="496">
        <f>IF(('Pl 2014-17 PFC'!H210)=0,"",'Pl 2014-17 PFC'!H210)</f>
        <v>3165</v>
      </c>
      <c r="I215" s="496" t="str">
        <f>IF(('Pl 2014-17 PFC'!J210)=0,"",'Pl 2014-17 PFC'!J210)</f>
        <v/>
      </c>
      <c r="J215" s="496">
        <f>IF(('Pl 2014-17 PFC'!K210)=0,"",'Pl 2014-17 PFC'!K210)</f>
        <v>3020</v>
      </c>
    </row>
    <row r="216" spans="1:38" hidden="1" x14ac:dyDescent="0.25">
      <c r="A216" s="1049"/>
      <c r="B216" s="571" t="s">
        <v>440</v>
      </c>
      <c r="C216" s="521" t="s">
        <v>239</v>
      </c>
      <c r="D216" s="496">
        <f>IF(('Pl 2014-17 PFC'!D211)=0,"",'Pl 2014-17 PFC'!D211)</f>
        <v>1414</v>
      </c>
      <c r="E216" s="496">
        <f>IF(('Pl 2014-17 PFC'!E211)=0,"",'Pl 2014-17 PFC'!E211)</f>
        <v>1450</v>
      </c>
      <c r="F216" s="496">
        <f>IF(('Pl 2014-17 PFC'!F211)=0,"",'Pl 2014-17 PFC'!F211)</f>
        <v>1480</v>
      </c>
      <c r="G216" s="496">
        <f>IF(('Pl 2014-17 PFC'!G211)=0,"",'Pl 2014-17 PFC'!G211)</f>
        <v>1475</v>
      </c>
      <c r="H216" s="496">
        <f>IF(('Pl 2014-17 PFC'!H211)=0,"",'Pl 2014-17 PFC'!H211)</f>
        <v>1508</v>
      </c>
      <c r="I216" s="496" t="str">
        <f>IF(('Pl 2014-17 PFC'!J211)=0,"",'Pl 2014-17 PFC'!J211)</f>
        <v/>
      </c>
      <c r="J216" s="496">
        <f>IF(('Pl 2014-17 PFC'!K211)=0,"",'Pl 2014-17 PFC'!K211)</f>
        <v>1450</v>
      </c>
    </row>
    <row r="217" spans="1:38" hidden="1" x14ac:dyDescent="0.25">
      <c r="A217" s="1049"/>
      <c r="B217" s="561" t="s">
        <v>69</v>
      </c>
      <c r="C217" s="521" t="s">
        <v>240</v>
      </c>
      <c r="D217" s="496">
        <f>IF(('Pl 2014-17 PFC'!D212)=0,"0",'Pl 2014-17 PFC'!D212)</f>
        <v>1902</v>
      </c>
      <c r="E217" s="496">
        <f>IF(('Pl 2014-17 PFC'!E212)=0,"0",'Pl 2014-17 PFC'!E212)</f>
        <v>1947</v>
      </c>
      <c r="F217" s="496">
        <f>IF(('Pl 2014-17 PFC'!F212)=0,"0",'Pl 2014-17 PFC'!F212)</f>
        <v>1995</v>
      </c>
      <c r="G217" s="496">
        <f>IF(('Pl 2014-17 PFC'!G212)=0,"0",'Pl 2014-17 PFC'!G212)</f>
        <v>2040</v>
      </c>
      <c r="H217" s="496">
        <f>IF(('Pl 2014-17 PFC'!H212)=0,"0",'Pl 2014-17 PFC'!H212)</f>
        <v>2090</v>
      </c>
      <c r="I217" s="496" t="str">
        <f>IF(('Pl 2014-17 PFC'!J212)=0,"0",'Pl 2014-17 PFC'!J212)</f>
        <v>0</v>
      </c>
      <c r="J217" s="496">
        <f>IF(('Pl 2014-17 PFC'!K212)=0,"0",'Pl 2014-17 PFC'!K212)</f>
        <v>1947</v>
      </c>
    </row>
    <row r="218" spans="1:38" hidden="1" x14ac:dyDescent="0.25">
      <c r="A218" s="1049"/>
      <c r="B218" s="571" t="s">
        <v>441</v>
      </c>
      <c r="C218" s="521" t="s">
        <v>242</v>
      </c>
      <c r="D218" s="496">
        <f>IF(('Pl 2014-17 PFC'!D213)=0,"",'Pl 2014-17 PFC'!D213)</f>
        <v>824</v>
      </c>
      <c r="E218" s="496">
        <f>IF(('Pl 2014-17 PFC'!E213)=0,"",'Pl 2014-17 PFC'!E213)</f>
        <v>868</v>
      </c>
      <c r="F218" s="496">
        <f>IF(('Pl 2014-17 PFC'!F213)=0,"",'Pl 2014-17 PFC'!F213)</f>
        <v>882</v>
      </c>
      <c r="G218" s="496">
        <f>IF(('Pl 2014-17 PFC'!G213)=0,"",'Pl 2014-17 PFC'!G213)</f>
        <v>890</v>
      </c>
      <c r="H218" s="496">
        <f>IF(('Pl 2014-17 PFC'!H213)=0,"",'Pl 2014-17 PFC'!H213)</f>
        <v>911</v>
      </c>
      <c r="I218" s="496" t="str">
        <f>IF(('Pl 2014-17 PFC'!J213)=0,"",'Pl 2014-17 PFC'!J213)</f>
        <v/>
      </c>
      <c r="J218" s="496">
        <f>IF(('Pl 2014-17 PFC'!K213)=0,"",'Pl 2014-17 PFC'!K213)</f>
        <v>868</v>
      </c>
    </row>
    <row r="219" spans="1:38" hidden="1" x14ac:dyDescent="0.25">
      <c r="A219" s="1049"/>
      <c r="B219" s="572" t="str">
        <f>'Pl 2014-17 PFC'!B214</f>
        <v>- pozostałe usługi obce</v>
      </c>
      <c r="C219" s="521" t="s">
        <v>244</v>
      </c>
      <c r="D219" s="496">
        <f>IF(('Pl 2014-17 PFC'!D214)=0,"",'Pl 2014-17 PFC'!D214)</f>
        <v>32136</v>
      </c>
      <c r="E219" s="496">
        <f>IF(('Pl 2014-17 PFC'!E214)=0,"",'Pl 2014-17 PFC'!E214)</f>
        <v>32057</v>
      </c>
      <c r="F219" s="496">
        <f>IF(('Pl 2014-17 PFC'!F214)=0,"",'Pl 2014-17 PFC'!F214)</f>
        <v>32989</v>
      </c>
      <c r="G219" s="496">
        <f>IF(('Pl 2014-17 PFC'!G214)=0,"",'Pl 2014-17 PFC'!G214)</f>
        <v>34117</v>
      </c>
      <c r="H219" s="496">
        <f>IF(('Pl 2014-17 PFC'!H214)=0,"",'Pl 2014-17 PFC'!H214)</f>
        <v>35067</v>
      </c>
      <c r="I219" s="496" t="str">
        <f>IF(('Pl 2014-17 PFC'!J214)=0,"",'Pl 2014-17 PFC'!J214)</f>
        <v/>
      </c>
      <c r="J219" s="496">
        <f>IF(('Pl 2014-17 PFC'!K214)=0,"",'Pl 2014-17 PFC'!K214)</f>
        <v>32057</v>
      </c>
    </row>
    <row r="220" spans="1:38" hidden="1" x14ac:dyDescent="0.25">
      <c r="A220" s="1049"/>
      <c r="B220" s="561" t="s">
        <v>245</v>
      </c>
      <c r="C220" s="521" t="s">
        <v>246</v>
      </c>
      <c r="D220" s="496">
        <f>IF(('Pl 2014-17 PFC'!D215)=0,"",'Pl 2014-17 PFC'!D215)</f>
        <v>125</v>
      </c>
      <c r="E220" s="496">
        <f>IF(('Pl 2014-17 PFC'!E215)=0,"",'Pl 2014-17 PFC'!E215)</f>
        <v>125</v>
      </c>
      <c r="F220" s="496">
        <f>IF(('Pl 2014-17 PFC'!F215)=0,"",'Pl 2014-17 PFC'!F215)</f>
        <v>125</v>
      </c>
      <c r="G220" s="496">
        <f>IF(('Pl 2014-17 PFC'!G215)=0,"",'Pl 2014-17 PFC'!G215)</f>
        <v>125</v>
      </c>
      <c r="H220" s="496">
        <f>IF(('Pl 2014-17 PFC'!H215)=0,"",'Pl 2014-17 PFC'!H215)</f>
        <v>125</v>
      </c>
      <c r="I220" s="496" t="str">
        <f>IF(('Pl 2014-17 PFC'!J215)=0,"",'Pl 2014-17 PFC'!J215)</f>
        <v/>
      </c>
      <c r="J220" s="496">
        <f>IF(('Pl 2014-17 PFC'!K215)=0,"",'Pl 2014-17 PFC'!K215)</f>
        <v>125</v>
      </c>
    </row>
    <row r="221" spans="1:38" hidden="1" x14ac:dyDescent="0.25">
      <c r="A221" s="1049"/>
      <c r="B221" s="561" t="s">
        <v>247</v>
      </c>
      <c r="C221" s="521" t="s">
        <v>248</v>
      </c>
      <c r="D221" s="496">
        <f>IF(('Pl 2014-17 PFC'!D216)=0,"",'Pl 2014-17 PFC'!D216)</f>
        <v>233</v>
      </c>
      <c r="E221" s="496">
        <f>IF(('Pl 2014-17 PFC'!E216)=0,"",'Pl 2014-17 PFC'!E216)</f>
        <v>292</v>
      </c>
      <c r="F221" s="496">
        <f>IF(('Pl 2014-17 PFC'!F216)=0,"",'Pl 2014-17 PFC'!F216)</f>
        <v>247</v>
      </c>
      <c r="G221" s="496">
        <f>IF(('Pl 2014-17 PFC'!G216)=0,"",'Pl 2014-17 PFC'!G216)</f>
        <v>248</v>
      </c>
      <c r="H221" s="496">
        <f>IF(('Pl 2014-17 PFC'!H216)=0,"",'Pl 2014-17 PFC'!H216)</f>
        <v>253</v>
      </c>
      <c r="I221" s="496" t="str">
        <f>IF(('Pl 2014-17 PFC'!J216)=0,"",'Pl 2014-17 PFC'!J216)</f>
        <v/>
      </c>
      <c r="J221" s="496">
        <f>IF(('Pl 2014-17 PFC'!K216)=0,"",'Pl 2014-17 PFC'!K216)</f>
        <v>292</v>
      </c>
    </row>
    <row r="222" spans="1:38" hidden="1" x14ac:dyDescent="0.25">
      <c r="A222" s="1049"/>
      <c r="B222" s="561" t="s">
        <v>249</v>
      </c>
      <c r="C222" s="521" t="s">
        <v>250</v>
      </c>
      <c r="D222" s="496">
        <f>IF(('Pl 2014-17 PFC'!D217)=0,"",'Pl 2014-17 PFC'!D217)</f>
        <v>731</v>
      </c>
      <c r="E222" s="496">
        <f>IF(('Pl 2014-17 PFC'!E217)=0,"",'Pl 2014-17 PFC'!E217)</f>
        <v>685</v>
      </c>
      <c r="F222" s="496">
        <f>IF(('Pl 2014-17 PFC'!F217)=0,"",'Pl 2014-17 PFC'!F217)</f>
        <v>763</v>
      </c>
      <c r="G222" s="496">
        <f>IF(('Pl 2014-17 PFC'!G217)=0,"",'Pl 2014-17 PFC'!G217)</f>
        <v>770</v>
      </c>
      <c r="H222" s="496">
        <f>IF(('Pl 2014-17 PFC'!H217)=0,"",'Pl 2014-17 PFC'!H217)</f>
        <v>788</v>
      </c>
      <c r="I222" s="496" t="str">
        <f>IF(('Pl 2014-17 PFC'!J217)=0,"",'Pl 2014-17 PFC'!J217)</f>
        <v/>
      </c>
      <c r="J222" s="496">
        <f>IF(('Pl 2014-17 PFC'!K217)=0,"",'Pl 2014-17 PFC'!K217)</f>
        <v>685</v>
      </c>
    </row>
    <row r="223" spans="1:38" hidden="1" x14ac:dyDescent="0.25">
      <c r="A223" s="1049"/>
      <c r="B223" s="561" t="s">
        <v>251</v>
      </c>
      <c r="C223" s="521" t="s">
        <v>252</v>
      </c>
      <c r="D223" s="496">
        <f>IF(('Pl 2014-17 PFC'!D218)=0,"",'Pl 2014-17 PFC'!D218)</f>
        <v>26</v>
      </c>
      <c r="E223" s="496">
        <f>IF(('Pl 2014-17 PFC'!E218)=0,"",'Pl 2014-17 PFC'!E218)</f>
        <v>26</v>
      </c>
      <c r="F223" s="496">
        <f>IF(('Pl 2014-17 PFC'!F218)=0,"",'Pl 2014-17 PFC'!F218)</f>
        <v>27</v>
      </c>
      <c r="G223" s="496">
        <f>IF(('Pl 2014-17 PFC'!G218)=0,"",'Pl 2014-17 PFC'!G218)</f>
        <v>28</v>
      </c>
      <c r="H223" s="496">
        <f>IF(('Pl 2014-17 PFC'!H218)=0,"",'Pl 2014-17 PFC'!H218)</f>
        <v>28</v>
      </c>
      <c r="I223" s="496" t="str">
        <f>IF(('Pl 2014-17 PFC'!J218)=0,"",'Pl 2014-17 PFC'!J218)</f>
        <v/>
      </c>
      <c r="J223" s="496">
        <f>IF(('Pl 2014-17 PFC'!K218)=0,"",'Pl 2014-17 PFC'!K218)</f>
        <v>26</v>
      </c>
    </row>
    <row r="224" spans="1:38" hidden="1" x14ac:dyDescent="0.25">
      <c r="A224" s="1049"/>
      <c r="B224" s="561" t="s">
        <v>253</v>
      </c>
      <c r="C224" s="521" t="s">
        <v>254</v>
      </c>
      <c r="D224" s="496">
        <f>IF(('Pl 2014-17 PFC'!D219)=0,"",'Pl 2014-17 PFC'!D219)</f>
        <v>5410</v>
      </c>
      <c r="E224" s="496">
        <f>IF(('Pl 2014-17 PFC'!E219)=0,"",'Pl 2014-17 PFC'!E219)</f>
        <v>6376</v>
      </c>
      <c r="F224" s="496">
        <f>IF(('Pl 2014-17 PFC'!F219)=0,"",'Pl 2014-17 PFC'!F219)</f>
        <v>6411</v>
      </c>
      <c r="G224" s="496">
        <f>IF(('Pl 2014-17 PFC'!G219)=0,"",'Pl 2014-17 PFC'!G219)</f>
        <v>6307</v>
      </c>
      <c r="H224" s="496">
        <f>IF(('Pl 2014-17 PFC'!H219)=0,"",'Pl 2014-17 PFC'!H219)</f>
        <v>6367</v>
      </c>
      <c r="I224" s="496" t="str">
        <f>IF(('Pl 2014-17 PFC'!J219)=0,"",'Pl 2014-17 PFC'!J219)</f>
        <v/>
      </c>
      <c r="J224" s="496">
        <f>IF(('Pl 2014-17 PFC'!K219)=0,"",'Pl 2014-17 PFC'!K219)</f>
        <v>6376</v>
      </c>
    </row>
    <row r="225" spans="1:10" hidden="1" x14ac:dyDescent="0.25">
      <c r="A225" s="1049"/>
      <c r="B225" s="571" t="s">
        <v>259</v>
      </c>
      <c r="C225" s="521" t="s">
        <v>260</v>
      </c>
      <c r="D225" s="496">
        <f>IF(('Pl 2014-17 PFC'!D223)=0,"",'Pl 2014-17 PFC'!D223)</f>
        <v>1336</v>
      </c>
      <c r="E225" s="496">
        <f>IF(('Pl 2014-17 PFC'!E223)=0,"",'Pl 2014-17 PFC'!E223)</f>
        <v>1410</v>
      </c>
      <c r="F225" s="496">
        <f>IF(('Pl 2014-17 PFC'!F223)=0,"",'Pl 2014-17 PFC'!F223)</f>
        <v>1464</v>
      </c>
      <c r="G225" s="496">
        <f>IF(('Pl 2014-17 PFC'!G223)=0,"",'Pl 2014-17 PFC'!G223)</f>
        <v>1489</v>
      </c>
      <c r="H225" s="496">
        <f>IF(('Pl 2014-17 PFC'!H223)=0,"",'Pl 2014-17 PFC'!H223)</f>
        <v>1525</v>
      </c>
      <c r="I225" s="496" t="str">
        <f>IF(('Pl 2014-17 PFC'!J223)=0,"",'Pl 2014-17 PFC'!J223)</f>
        <v/>
      </c>
      <c r="J225" s="496">
        <f>IF(('Pl 2014-17 PFC'!K223)=0,"",'Pl 2014-17 PFC'!K223)</f>
        <v>1410</v>
      </c>
    </row>
    <row r="226" spans="1:10" hidden="1" x14ac:dyDescent="0.25">
      <c r="A226" s="1049"/>
      <c r="B226" s="571" t="s">
        <v>261</v>
      </c>
      <c r="C226" s="521" t="s">
        <v>262</v>
      </c>
      <c r="D226" s="496">
        <f>IF(('Pl 2014-17 PFC'!D224)=0,"",'Pl 2014-17 PFC'!D224)</f>
        <v>120</v>
      </c>
      <c r="E226" s="496">
        <f>IF(('Pl 2014-17 PFC'!E224)=0,"",'Pl 2014-17 PFC'!E224)</f>
        <v>80</v>
      </c>
      <c r="F226" s="496">
        <f>IF(('Pl 2014-17 PFC'!F224)=0,"",'Pl 2014-17 PFC'!F224)</f>
        <v>80</v>
      </c>
      <c r="G226" s="496">
        <f>IF(('Pl 2014-17 PFC'!G224)=0,"",'Pl 2014-17 PFC'!G224)</f>
        <v>80</v>
      </c>
      <c r="H226" s="496">
        <f>IF(('Pl 2014-17 PFC'!H224)=0,"",'Pl 2014-17 PFC'!H224)</f>
        <v>80</v>
      </c>
      <c r="I226" s="496" t="str">
        <f>IF(('Pl 2014-17 PFC'!J224)=0,"",'Pl 2014-17 PFC'!J224)</f>
        <v/>
      </c>
      <c r="J226" s="496">
        <f>IF(('Pl 2014-17 PFC'!K224)=0,"",'Pl 2014-17 PFC'!K224)</f>
        <v>80</v>
      </c>
    </row>
    <row r="227" spans="1:10" hidden="1" x14ac:dyDescent="0.25">
      <c r="A227" s="1049"/>
      <c r="B227" s="561" t="s">
        <v>263</v>
      </c>
      <c r="C227" s="521" t="s">
        <v>264</v>
      </c>
      <c r="D227" s="496">
        <f>IF(('Pl 2014-17 PFC'!D225)=0,"",'Pl 2014-17 PFC'!D225)</f>
        <v>336</v>
      </c>
      <c r="E227" s="496">
        <f>IF(('Pl 2014-17 PFC'!E225)=0,"",'Pl 2014-17 PFC'!E225)</f>
        <v>345</v>
      </c>
      <c r="F227" s="496">
        <f>IF(('Pl 2014-17 PFC'!F225)=0,"",'Pl 2014-17 PFC'!F225)</f>
        <v>354</v>
      </c>
      <c r="G227" s="496">
        <f>IF(('Pl 2014-17 PFC'!G225)=0,"",'Pl 2014-17 PFC'!G225)</f>
        <v>358</v>
      </c>
      <c r="H227" s="496">
        <f>IF(('Pl 2014-17 PFC'!H225)=0,"",'Pl 2014-17 PFC'!H225)</f>
        <v>367</v>
      </c>
      <c r="I227" s="496" t="str">
        <f>IF(('Pl 2014-17 PFC'!J225)=0,"",'Pl 2014-17 PFC'!J225)</f>
        <v/>
      </c>
      <c r="J227" s="496">
        <f>IF(('Pl 2014-17 PFC'!K225)=0,"",'Pl 2014-17 PFC'!K225)</f>
        <v>345</v>
      </c>
    </row>
    <row r="228" spans="1:10" hidden="1" x14ac:dyDescent="0.25">
      <c r="A228" s="1049"/>
      <c r="B228" s="561" t="s">
        <v>265</v>
      </c>
      <c r="C228" s="521" t="s">
        <v>266</v>
      </c>
      <c r="D228" s="496">
        <f>IF(('Pl 2014-17 PFC'!D226)=0,"",'Pl 2014-17 PFC'!D226)</f>
        <v>1120</v>
      </c>
      <c r="E228" s="496">
        <f>IF(('Pl 2014-17 PFC'!E226)=0,"",'Pl 2014-17 PFC'!E226)</f>
        <v>1120</v>
      </c>
      <c r="F228" s="496">
        <f>IF(('Pl 2014-17 PFC'!F226)=0,"",'Pl 2014-17 PFC'!F226)</f>
        <v>1120</v>
      </c>
      <c r="G228" s="496">
        <f>IF(('Pl 2014-17 PFC'!G226)=0,"",'Pl 2014-17 PFC'!G226)</f>
        <v>1120</v>
      </c>
      <c r="H228" s="496">
        <f>IF(('Pl 2014-17 PFC'!H226)=0,"",'Pl 2014-17 PFC'!H226)</f>
        <v>1120</v>
      </c>
      <c r="I228" s="496" t="str">
        <f>IF(('Pl 2014-17 PFC'!J226)=0,"",'Pl 2014-17 PFC'!J226)</f>
        <v/>
      </c>
      <c r="J228" s="496">
        <f>IF(('Pl 2014-17 PFC'!K226)=0,"",'Pl 2014-17 PFC'!K226)</f>
        <v>1120</v>
      </c>
    </row>
    <row r="229" spans="1:10" hidden="1" x14ac:dyDescent="0.25">
      <c r="A229" s="1049"/>
      <c r="B229" s="561" t="s">
        <v>267</v>
      </c>
      <c r="C229" s="521" t="s">
        <v>268</v>
      </c>
      <c r="D229" s="496">
        <f>IF(('Pl 2014-17 PFC'!D227)=0,"",'Pl 2014-17 PFC'!D227)</f>
        <v>56</v>
      </c>
      <c r="E229" s="496">
        <f>IF(('Pl 2014-17 PFC'!E227)=0,"",'Pl 2014-17 PFC'!E227)</f>
        <v>58</v>
      </c>
      <c r="F229" s="496">
        <f>IF(('Pl 2014-17 PFC'!F227)=0,"",'Pl 2014-17 PFC'!F227)</f>
        <v>59</v>
      </c>
      <c r="G229" s="496">
        <f>IF(('Pl 2014-17 PFC'!G227)=0,"",'Pl 2014-17 PFC'!G227)</f>
        <v>60</v>
      </c>
      <c r="H229" s="496">
        <f>IF(('Pl 2014-17 PFC'!H227)=0,"",'Pl 2014-17 PFC'!H227)</f>
        <v>62</v>
      </c>
      <c r="I229" s="496" t="str">
        <f>IF(('Pl 2014-17 PFC'!J227)=0,"",'Pl 2014-17 PFC'!J227)</f>
        <v/>
      </c>
      <c r="J229" s="496">
        <f>IF(('Pl 2014-17 PFC'!K227)=0,"",'Pl 2014-17 PFC'!K227)</f>
        <v>58</v>
      </c>
    </row>
    <row r="230" spans="1:10" hidden="1" x14ac:dyDescent="0.25">
      <c r="A230" s="1049"/>
      <c r="B230" s="561" t="s">
        <v>442</v>
      </c>
      <c r="C230" s="521" t="s">
        <v>443</v>
      </c>
      <c r="D230" s="496">
        <f>SUM(D231:D232)</f>
        <v>5</v>
      </c>
      <c r="E230" s="496">
        <f>SUM(E231:E232)</f>
        <v>5</v>
      </c>
      <c r="F230" s="496">
        <f>SUM(F231:F232)</f>
        <v>5</v>
      </c>
      <c r="G230" s="496">
        <f>SUM(G231:G232)</f>
        <v>4</v>
      </c>
      <c r="H230" s="496">
        <f>SUM(H231:H232)</f>
        <v>5</v>
      </c>
      <c r="I230" s="496">
        <f>SUM(J231:J232)</f>
        <v>5</v>
      </c>
      <c r="J230" s="496">
        <f>SUM(K231:K232)</f>
        <v>0</v>
      </c>
    </row>
    <row r="231" spans="1:10" hidden="1" x14ac:dyDescent="0.25">
      <c r="A231" s="1049"/>
      <c r="B231" s="561" t="s">
        <v>269</v>
      </c>
      <c r="C231" s="521" t="s">
        <v>270</v>
      </c>
      <c r="D231" s="496">
        <f>IF(('Pl 2014-17 PFC'!D228)=0,"",'Pl 2014-17 PFC'!D228)</f>
        <v>3</v>
      </c>
      <c r="E231" s="496">
        <f>IF(('Pl 2014-17 PFC'!E228)=0,"",'Pl 2014-17 PFC'!E228)</f>
        <v>3</v>
      </c>
      <c r="F231" s="496">
        <f>IF(('Pl 2014-17 PFC'!F228)=0,"",'Pl 2014-17 PFC'!F228)</f>
        <v>3</v>
      </c>
      <c r="G231" s="496">
        <f>IF(('Pl 2014-17 PFC'!G228)=0,"",'Pl 2014-17 PFC'!G228)</f>
        <v>3</v>
      </c>
      <c r="H231" s="496">
        <f>IF(('Pl 2014-17 PFC'!H228)=0,"",'Pl 2014-17 PFC'!H228)</f>
        <v>3</v>
      </c>
      <c r="I231" s="496" t="str">
        <f>IF(('Pl 2014-17 PFC'!J228)=0,"",'Pl 2014-17 PFC'!J228)</f>
        <v/>
      </c>
      <c r="J231" s="496">
        <f>IF(('Pl 2014-17 PFC'!K228)=0,"",'Pl 2014-17 PFC'!K228)</f>
        <v>3</v>
      </c>
    </row>
    <row r="232" spans="1:10" hidden="1" x14ac:dyDescent="0.25">
      <c r="A232" s="1049"/>
      <c r="B232" s="561" t="s">
        <v>271</v>
      </c>
      <c r="C232" s="521" t="s">
        <v>272</v>
      </c>
      <c r="D232" s="496">
        <f>IF(('Pl 2014-17 PFC'!D229)=0,"",'Pl 2014-17 PFC'!D229)</f>
        <v>2</v>
      </c>
      <c r="E232" s="496">
        <f>IF(('Pl 2014-17 PFC'!E229)=0,"",'Pl 2014-17 PFC'!E229)</f>
        <v>2</v>
      </c>
      <c r="F232" s="496">
        <f>IF(('Pl 2014-17 PFC'!F229)=0,"",'Pl 2014-17 PFC'!F229)</f>
        <v>2</v>
      </c>
      <c r="G232" s="496">
        <f>IF(('Pl 2014-17 PFC'!G229)=0,"",'Pl 2014-17 PFC'!G229)</f>
        <v>1</v>
      </c>
      <c r="H232" s="496">
        <f>IF(('Pl 2014-17 PFC'!H229)=0,"",'Pl 2014-17 PFC'!H229)</f>
        <v>2</v>
      </c>
      <c r="I232" s="496" t="str">
        <f>IF(('Pl 2014-17 PFC'!J229)=0,"",'Pl 2014-17 PFC'!J229)</f>
        <v/>
      </c>
      <c r="J232" s="496">
        <f>IF(('Pl 2014-17 PFC'!K229)=0,"",'Pl 2014-17 PFC'!K229)</f>
        <v>2</v>
      </c>
    </row>
    <row r="233" spans="1:10" hidden="1" x14ac:dyDescent="0.25">
      <c r="A233" s="1049"/>
      <c r="B233" s="561" t="s">
        <v>273</v>
      </c>
      <c r="C233" s="521" t="s">
        <v>274</v>
      </c>
      <c r="D233" s="496">
        <f>IF(('Pl 2014-17 PFC'!D230)=0,"",'Pl 2014-17 PFC'!D230)</f>
        <v>42</v>
      </c>
      <c r="E233" s="496">
        <f>IF(('Pl 2014-17 PFC'!E230)=0,"",'Pl 2014-17 PFC'!E230)</f>
        <v>43</v>
      </c>
      <c r="F233" s="496">
        <f>IF(('Pl 2014-17 PFC'!F230)=0,"",'Pl 2014-17 PFC'!F230)</f>
        <v>44</v>
      </c>
      <c r="G233" s="496">
        <f>IF(('Pl 2014-17 PFC'!G230)=0,"",'Pl 2014-17 PFC'!G230)</f>
        <v>45</v>
      </c>
      <c r="H233" s="496">
        <f>IF(('Pl 2014-17 PFC'!H230)=0,"",'Pl 2014-17 PFC'!H230)</f>
        <v>46</v>
      </c>
      <c r="I233" s="496" t="str">
        <f>IF(('Pl 2014-17 PFC'!J230)=0,"",'Pl 2014-17 PFC'!J230)</f>
        <v/>
      </c>
      <c r="J233" s="496">
        <f>IF(('Pl 2014-17 PFC'!K230)=0,"",'Pl 2014-17 PFC'!K230)</f>
        <v>43</v>
      </c>
    </row>
    <row r="234" spans="1:10" hidden="1" x14ac:dyDescent="0.25">
      <c r="A234" s="1049"/>
      <c r="B234" s="561" t="s">
        <v>689</v>
      </c>
      <c r="C234" s="521"/>
      <c r="D234" s="496"/>
      <c r="E234" s="496">
        <f>IF(('Pl 2014-17 PFC'!E231)=0,"",'Pl 2014-17 PFC'!E231)</f>
        <v>13</v>
      </c>
      <c r="F234" s="496" t="str">
        <f>IF(('Pl 2014-17 PFC'!F231)=0,"",'Pl 2014-17 PFC'!F231)</f>
        <v/>
      </c>
      <c r="G234" s="496" t="str">
        <f>IF(('Pl 2014-17 PFC'!G231)=0,"",'Pl 2014-17 PFC'!G231)</f>
        <v/>
      </c>
      <c r="H234" s="496" t="str">
        <f>IF(('Pl 2014-17 PFC'!H231)=0,"",'Pl 2014-17 PFC'!H231)</f>
        <v/>
      </c>
      <c r="I234" s="496" t="str">
        <f>IF(('Pl 2014-17 PFC'!I231)=0,"",'Pl 2014-17 PFC'!I231)</f>
        <v/>
      </c>
      <c r="J234" s="496" t="str">
        <f>IF(('Pl 2014-17 PFC'!J231)=0,"",'Pl 2014-17 PFC'!J231)</f>
        <v/>
      </c>
    </row>
    <row r="235" spans="1:10" hidden="1" x14ac:dyDescent="0.25">
      <c r="A235" s="1049"/>
      <c r="B235" s="561" t="s">
        <v>275</v>
      </c>
      <c r="C235" s="521" t="s">
        <v>276</v>
      </c>
      <c r="D235" s="496" t="str">
        <f>IF(('Pl 2014-17 PFC'!D232)=0,"",'Pl 2014-17 PFC'!D232)</f>
        <v/>
      </c>
      <c r="E235" s="496" t="str">
        <f>IF(('Pl 2014-17 PFC'!E232)=0,"",'Pl 2014-17 PFC'!E232)</f>
        <v/>
      </c>
      <c r="F235" s="496" t="str">
        <f>IF(('Pl 2014-17 PFC'!F232)=0,"",'Pl 2014-17 PFC'!F232)</f>
        <v/>
      </c>
      <c r="G235" s="496" t="str">
        <f>IF(('Pl 2014-17 PFC'!G232)=0,"",'Pl 2014-17 PFC'!G232)</f>
        <v/>
      </c>
      <c r="H235" s="496" t="str">
        <f>IF(('Pl 2014-17 PFC'!H232)=0,"",'Pl 2014-17 PFC'!H232)</f>
        <v/>
      </c>
      <c r="I235" s="496" t="str">
        <f>IF(('Pl 2014-17 PFC'!J232)=0,"",'Pl 2014-17 PFC'!J232)</f>
        <v/>
      </c>
      <c r="J235" s="496" t="str">
        <f>IF(('Pl 2014-17 PFC'!K232)=0,"",'Pl 2014-17 PFC'!K232)</f>
        <v/>
      </c>
    </row>
    <row r="236" spans="1:10" hidden="1" x14ac:dyDescent="0.25">
      <c r="A236" s="1049"/>
      <c r="B236" s="561" t="s">
        <v>131</v>
      </c>
      <c r="C236" s="521" t="s">
        <v>277</v>
      </c>
      <c r="D236" s="496">
        <f>IF(('Pl 2014-17 PFC'!D233)=0,"",'Pl 2014-17 PFC'!D233)</f>
        <v>314</v>
      </c>
      <c r="E236" s="496">
        <f>IF(('Pl 2014-17 PFC'!E233)=0,"",'Pl 2014-17 PFC'!E233)</f>
        <v>311</v>
      </c>
      <c r="F236" s="496">
        <f>IF(('Pl 2014-17 PFC'!F233)=0,"",'Pl 2014-17 PFC'!F233)</f>
        <v>307</v>
      </c>
      <c r="G236" s="496">
        <f>IF(('Pl 2014-17 PFC'!G233)=0,"",'Pl 2014-17 PFC'!G233)</f>
        <v>302</v>
      </c>
      <c r="H236" s="496">
        <f>IF(('Pl 2014-17 PFC'!H233)=0,"",'Pl 2014-17 PFC'!H233)</f>
        <v>307</v>
      </c>
      <c r="I236" s="496" t="str">
        <f>IF(('Pl 2014-17 PFC'!J233)=0,"",'Pl 2014-17 PFC'!J233)</f>
        <v/>
      </c>
      <c r="J236" s="496">
        <f>IF(('Pl 2014-17 PFC'!K233)=0,"",'Pl 2014-17 PFC'!K233)</f>
        <v>311</v>
      </c>
    </row>
    <row r="237" spans="1:10" hidden="1" x14ac:dyDescent="0.25">
      <c r="A237" s="1049"/>
      <c r="B237" s="561" t="s">
        <v>444</v>
      </c>
      <c r="C237" s="521" t="s">
        <v>279</v>
      </c>
      <c r="D237" s="496" t="str">
        <f>IF(('Pl 2014-17 PFC'!D234)=0,"",'Pl 2014-17 PFC'!D234)</f>
        <v/>
      </c>
      <c r="E237" s="496"/>
      <c r="F237" s="496"/>
      <c r="G237" s="496"/>
      <c r="H237" s="496"/>
      <c r="I237" s="496"/>
      <c r="J237" s="496"/>
    </row>
    <row r="238" spans="1:10" hidden="1" x14ac:dyDescent="0.25">
      <c r="A238" s="1049"/>
      <c r="B238" s="561" t="s">
        <v>445</v>
      </c>
      <c r="C238" s="521" t="s">
        <v>281</v>
      </c>
      <c r="D238" s="496">
        <f>IF(('Pl 2014-17 PFC'!D242)=0,"",'Pl 2014-17 PFC'!D242)</f>
        <v>24883</v>
      </c>
      <c r="E238" s="496">
        <f>IF(('Pl 2014-17 PFC'!E242)=0,"",'Pl 2014-17 PFC'!E242)</f>
        <v>22318</v>
      </c>
      <c r="F238" s="496">
        <f>IF(('Pl 2014-17 PFC'!F242)=0,"",'Pl 2014-17 PFC'!F242)</f>
        <v>26818</v>
      </c>
      <c r="G238" s="496">
        <f>IF(('Pl 2014-17 PFC'!G242)=0,"",'Pl 2014-17 PFC'!G242)</f>
        <v>19819</v>
      </c>
      <c r="H238" s="496">
        <f>IF(('Pl 2014-17 PFC'!H242)=0,"",'Pl 2014-17 PFC'!H242)</f>
        <v>19319</v>
      </c>
      <c r="I238" s="496" t="str">
        <f>IF(('Pl 2014-17 PFC'!J242)=0,"",'Pl 2014-17 PFC'!J242)</f>
        <v/>
      </c>
      <c r="J238" s="496">
        <f>IF(('Pl 2014-17 PFC'!K242)=0,"",'Pl 2014-17 PFC'!K242)</f>
        <v>22318</v>
      </c>
    </row>
    <row r="239" spans="1:10" hidden="1" x14ac:dyDescent="0.25">
      <c r="A239" s="1049"/>
      <c r="B239" s="561" t="s">
        <v>282</v>
      </c>
      <c r="C239" s="521" t="s">
        <v>283</v>
      </c>
      <c r="D239" s="496">
        <f>IF(('Pl 2014-17 PFC'!D244)=0,"",'Pl 2014-17 PFC'!D244)</f>
        <v>16248</v>
      </c>
      <c r="E239" s="496">
        <f>IF(('Pl 2014-17 PFC'!E244)=0,"",'Pl 2014-17 PFC'!E244)</f>
        <v>23255</v>
      </c>
      <c r="F239" s="496">
        <f>IF(('Pl 2014-17 PFC'!F244)=0,"",'Pl 2014-17 PFC'!F244)</f>
        <v>18665</v>
      </c>
      <c r="G239" s="496">
        <f>IF(('Pl 2014-17 PFC'!G244)=0,"",'Pl 2014-17 PFC'!G244)</f>
        <v>14258</v>
      </c>
      <c r="H239" s="496">
        <f>IF(('Pl 2014-17 PFC'!H244)=0,"",'Pl 2014-17 PFC'!H244)</f>
        <v>12801</v>
      </c>
      <c r="I239" s="496" t="str">
        <f>IF(('Pl 2014-17 PFC'!J244)=0,"",'Pl 2014-17 PFC'!J244)</f>
        <v/>
      </c>
      <c r="J239" s="496">
        <f>IF(('Pl 2014-17 PFC'!K244)=0,"",'Pl 2014-17 PFC'!K244)</f>
        <v>23255</v>
      </c>
    </row>
    <row r="240" spans="1:10" x14ac:dyDescent="0.25">
      <c r="A240" s="1049" t="s">
        <v>233</v>
      </c>
      <c r="B240" s="564" t="s">
        <v>446</v>
      </c>
      <c r="C240" s="521" t="s">
        <v>284</v>
      </c>
      <c r="D240" s="496" t="e">
        <f>IF(('Pl 2014-17 PFC'!#REF!)=0,"0",'Pl 2014-17 PFC'!#REF!)</f>
        <v>#REF!</v>
      </c>
      <c r="E240" s="496">
        <f>IF(('Pl 2014-17 PFC'!E221)=0,"0",'Pl 2014-17 PFC'!E221)</f>
        <v>21088</v>
      </c>
      <c r="F240" s="496" t="str">
        <f>IF(('Pl 2014-17 PFC'!F221)=0,"0",'Pl 2014-17 PFC'!F221)</f>
        <v>0</v>
      </c>
      <c r="G240" s="496" t="str">
        <f>IF(('Pl 2014-17 PFC'!G221)=0,"0",'Pl 2014-17 PFC'!G221)</f>
        <v>0</v>
      </c>
      <c r="H240" s="496" t="str">
        <f>IF(('Pl 2014-17 PFC'!H221)=0,"0",'Pl 2014-17 PFC'!H221)</f>
        <v>0</v>
      </c>
      <c r="I240" s="496" t="str">
        <f>IF(('Pl 2014-17 PFC'!J221)=0,"0",'Pl 2014-17 PFC'!J221)</f>
        <v>0</v>
      </c>
      <c r="J240" s="496">
        <f>IF(('Pl 2014-17 PFC'!K221)=0,"0",'Pl 2014-17 PFC'!K221)</f>
        <v>21088</v>
      </c>
    </row>
    <row r="241" spans="1:38" hidden="1" x14ac:dyDescent="0.25">
      <c r="A241" s="1049"/>
      <c r="B241" s="564" t="s">
        <v>447</v>
      </c>
      <c r="C241" s="521" t="s">
        <v>87</v>
      </c>
      <c r="D241" s="496">
        <f t="shared" ref="D241:J241" si="53">SUM(D242:D243)</f>
        <v>0</v>
      </c>
      <c r="E241" s="496">
        <f t="shared" si="53"/>
        <v>0</v>
      </c>
      <c r="F241" s="496">
        <f t="shared" si="53"/>
        <v>0</v>
      </c>
      <c r="G241" s="496">
        <f t="shared" si="53"/>
        <v>0</v>
      </c>
      <c r="H241" s="496">
        <f t="shared" si="53"/>
        <v>0</v>
      </c>
      <c r="I241" s="496">
        <f t="shared" si="53"/>
        <v>0</v>
      </c>
      <c r="J241" s="496">
        <f t="shared" si="53"/>
        <v>0</v>
      </c>
    </row>
    <row r="242" spans="1:38" hidden="1" x14ac:dyDescent="0.25">
      <c r="A242" s="1049"/>
      <c r="B242" s="564" t="s">
        <v>293</v>
      </c>
      <c r="C242" s="521" t="s">
        <v>448</v>
      </c>
      <c r="D242" s="496" t="str">
        <f t="shared" ref="D242:H243" si="54">IF(("$'Pl 2014-17 PFC'.$#ODWOŁANIE$#ODWOŁANIE")=0,"","$'Pl 2014-17 PFC'.$#ODWOŁANIE$#ODWOŁANIE")</f>
        <v>$'Pl 2014-17 PFC'.$#ODWOŁANIE$#ODWOŁANIE</v>
      </c>
      <c r="E242" s="496"/>
      <c r="F242" s="496" t="str">
        <f t="shared" si="54"/>
        <v>$'Pl 2014-17 PFC'.$#ODWOŁANIE$#ODWOŁANIE</v>
      </c>
      <c r="G242" s="496" t="str">
        <f t="shared" si="54"/>
        <v>$'Pl 2014-17 PFC'.$#ODWOŁANIE$#ODWOŁANIE</v>
      </c>
      <c r="H242" s="496" t="str">
        <f t="shared" si="54"/>
        <v>$'Pl 2014-17 PFC'.$#ODWOŁANIE$#ODWOŁANIE</v>
      </c>
      <c r="I242" s="496"/>
      <c r="J242" s="496"/>
    </row>
    <row r="243" spans="1:38" hidden="1" x14ac:dyDescent="0.25">
      <c r="A243" s="1049"/>
      <c r="B243" s="564" t="s">
        <v>449</v>
      </c>
      <c r="C243" s="521" t="s">
        <v>450</v>
      </c>
      <c r="D243" s="496" t="str">
        <f t="shared" si="54"/>
        <v>$'Pl 2014-17 PFC'.$#ODWOŁANIE$#ODWOŁANIE</v>
      </c>
      <c r="E243" s="496"/>
      <c r="F243" s="496" t="str">
        <f t="shared" si="54"/>
        <v>$'Pl 2014-17 PFC'.$#ODWOŁANIE$#ODWOŁANIE</v>
      </c>
      <c r="G243" s="496" t="str">
        <f t="shared" si="54"/>
        <v>$'Pl 2014-17 PFC'.$#ODWOŁANIE$#ODWOŁANIE</v>
      </c>
      <c r="H243" s="496" t="str">
        <f t="shared" si="54"/>
        <v>$'Pl 2014-17 PFC'.$#ODWOŁANIE$#ODWOŁANIE</v>
      </c>
      <c r="I243" s="496"/>
      <c r="J243" s="496"/>
    </row>
    <row r="244" spans="1:38" hidden="1" x14ac:dyDescent="0.25">
      <c r="A244" s="1049"/>
      <c r="B244" s="564" t="s">
        <v>451</v>
      </c>
      <c r="C244" s="521" t="s">
        <v>87</v>
      </c>
      <c r="D244" s="496">
        <f t="shared" ref="D244:J244" si="55">SUM(D245:D246)</f>
        <v>0</v>
      </c>
      <c r="E244" s="496">
        <f t="shared" si="55"/>
        <v>0</v>
      </c>
      <c r="F244" s="496">
        <f t="shared" si="55"/>
        <v>0</v>
      </c>
      <c r="G244" s="496">
        <f t="shared" si="55"/>
        <v>0</v>
      </c>
      <c r="H244" s="496">
        <f t="shared" si="55"/>
        <v>0</v>
      </c>
      <c r="I244" s="496">
        <f t="shared" si="55"/>
        <v>0</v>
      </c>
      <c r="J244" s="496">
        <f t="shared" si="55"/>
        <v>0</v>
      </c>
    </row>
    <row r="245" spans="1:38" hidden="1" x14ac:dyDescent="0.25">
      <c r="A245" s="1049"/>
      <c r="B245" s="564" t="s">
        <v>293</v>
      </c>
      <c r="C245" s="521" t="s">
        <v>452</v>
      </c>
      <c r="D245" s="496" t="str">
        <f t="shared" ref="D245:H246" si="56">IF(("$'Pl 2014-17 PFC'.$#ODWOŁANIE$#ODWOŁANIE")=0,"","$'Pl 2014-17 PFC'.$#ODWOŁANIE$#ODWOŁANIE")</f>
        <v>$'Pl 2014-17 PFC'.$#ODWOŁANIE$#ODWOŁANIE</v>
      </c>
      <c r="E245" s="496"/>
      <c r="F245" s="496" t="str">
        <f t="shared" si="56"/>
        <v>$'Pl 2014-17 PFC'.$#ODWOŁANIE$#ODWOŁANIE</v>
      </c>
      <c r="G245" s="496" t="str">
        <f t="shared" si="56"/>
        <v>$'Pl 2014-17 PFC'.$#ODWOŁANIE$#ODWOŁANIE</v>
      </c>
      <c r="H245" s="496" t="str">
        <f t="shared" si="56"/>
        <v>$'Pl 2014-17 PFC'.$#ODWOŁANIE$#ODWOŁANIE</v>
      </c>
      <c r="I245" s="496"/>
      <c r="J245" s="496"/>
    </row>
    <row r="246" spans="1:38" hidden="1" x14ac:dyDescent="0.25">
      <c r="A246" s="1049"/>
      <c r="B246" s="564" t="s">
        <v>449</v>
      </c>
      <c r="C246" s="521" t="s">
        <v>453</v>
      </c>
      <c r="D246" s="496" t="str">
        <f t="shared" si="56"/>
        <v>$'Pl 2014-17 PFC'.$#ODWOŁANIE$#ODWOŁANIE</v>
      </c>
      <c r="E246" s="496"/>
      <c r="F246" s="496" t="str">
        <f t="shared" si="56"/>
        <v>$'Pl 2014-17 PFC'.$#ODWOŁANIE$#ODWOŁANIE</v>
      </c>
      <c r="G246" s="496" t="str">
        <f t="shared" si="56"/>
        <v>$'Pl 2014-17 PFC'.$#ODWOŁANIE$#ODWOŁANIE</v>
      </c>
      <c r="H246" s="496" t="str">
        <f t="shared" si="56"/>
        <v>$'Pl 2014-17 PFC'.$#ODWOŁANIE$#ODWOŁANIE</v>
      </c>
      <c r="I246" s="496"/>
      <c r="J246" s="496"/>
    </row>
    <row r="247" spans="1:38" hidden="1" x14ac:dyDescent="0.25">
      <c r="A247" s="1049"/>
      <c r="B247" s="564"/>
      <c r="C247" s="521"/>
      <c r="D247" s="496"/>
      <c r="E247" s="496"/>
      <c r="F247" s="496"/>
      <c r="G247" s="496"/>
      <c r="H247" s="496"/>
      <c r="I247" s="496"/>
      <c r="J247" s="496"/>
    </row>
    <row r="248" spans="1:38" x14ac:dyDescent="0.25">
      <c r="A248" s="1049" t="s">
        <v>255</v>
      </c>
      <c r="B248" s="564" t="s">
        <v>454</v>
      </c>
      <c r="C248" s="521" t="s">
        <v>258</v>
      </c>
      <c r="D248" s="496">
        <f>'Pl 2014-17 PFC'!D222</f>
        <v>8259</v>
      </c>
      <c r="E248" s="496">
        <f>'Pl 2014-17 PFC'!E222</f>
        <v>9870</v>
      </c>
      <c r="F248" s="496">
        <f>'Pl 2014-17 PFC'!F222</f>
        <v>8823</v>
      </c>
      <c r="G248" s="496">
        <f>'Pl 2014-17 PFC'!G222</f>
        <v>9436</v>
      </c>
      <c r="H248" s="496">
        <f>'Pl 2014-17 PFC'!H222</f>
        <v>9266</v>
      </c>
      <c r="I248" s="496">
        <f>'Pl 2014-17 PFC'!J222</f>
        <v>0</v>
      </c>
      <c r="J248" s="496">
        <f>'Pl 2014-17 PFC'!K222</f>
        <v>9870</v>
      </c>
    </row>
    <row r="249" spans="1:38" s="568" customFormat="1" ht="31.5" x14ac:dyDescent="0.25">
      <c r="A249" s="1050" t="s">
        <v>285</v>
      </c>
      <c r="B249" s="573" t="s">
        <v>455</v>
      </c>
      <c r="C249" s="562" t="s">
        <v>287</v>
      </c>
      <c r="D249" s="496">
        <f>IF(('Pl 2014-17 PFC'!D237)=0,"0",'Pl 2014-17 PFC'!D237)</f>
        <v>195133</v>
      </c>
      <c r="E249" s="496">
        <f>IF(('Pl 2014-17 PFC'!E237)=0,"0",'Pl 2014-17 PFC'!E237)</f>
        <v>175000</v>
      </c>
      <c r="F249" s="496">
        <f>IF(('Pl 2014-17 PFC'!F237)=0,"0",'Pl 2014-17 PFC'!F237)</f>
        <v>175000</v>
      </c>
      <c r="G249" s="496">
        <f>IF(('Pl 2014-17 PFC'!G237)=0,"0",'Pl 2014-17 PFC'!G237)</f>
        <v>165000</v>
      </c>
      <c r="H249" s="496">
        <f>IF(('Pl 2014-17 PFC'!H237)=0,"0",'Pl 2014-17 PFC'!H237)</f>
        <v>165000</v>
      </c>
      <c r="I249" s="496">
        <f>'Pl 2014-17 PFC'!J237</f>
        <v>0</v>
      </c>
      <c r="J249" s="496">
        <f>'Pl 2014-17 PFC'!K237</f>
        <v>175000</v>
      </c>
      <c r="K249" s="566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  <c r="AF249" s="566"/>
      <c r="AG249" s="566"/>
      <c r="AH249" s="566"/>
      <c r="AI249" s="566"/>
      <c r="AJ249" s="566"/>
      <c r="AK249" s="567"/>
      <c r="AL249" s="567"/>
    </row>
    <row r="250" spans="1:38" hidden="1" x14ac:dyDescent="0.25">
      <c r="A250" s="1049"/>
      <c r="B250" s="561"/>
      <c r="C250" s="521"/>
      <c r="D250" s="496"/>
      <c r="E250" s="496"/>
      <c r="F250" s="496"/>
      <c r="G250" s="496"/>
      <c r="H250" s="496"/>
      <c r="I250" s="496">
        <f>'Pl 2014-17 PFC'!J238</f>
        <v>0</v>
      </c>
      <c r="J250" s="496">
        <f>'Pl 2014-17 PFC'!K238</f>
        <v>0</v>
      </c>
    </row>
    <row r="251" spans="1:38" x14ac:dyDescent="0.25">
      <c r="A251" s="1049" t="s">
        <v>667</v>
      </c>
      <c r="B251" s="554" t="s">
        <v>456</v>
      </c>
      <c r="C251" s="521" t="s">
        <v>87</v>
      </c>
      <c r="D251" s="496">
        <f>SUM(D252,D257)</f>
        <v>130878</v>
      </c>
      <c r="E251" s="496">
        <f>SUM(E252,E257)</f>
        <v>169473</v>
      </c>
      <c r="F251" s="496">
        <f>SUM(F252,F257)</f>
        <v>194463</v>
      </c>
      <c r="G251" s="496">
        <f>SUM(G252,G257)</f>
        <v>183057</v>
      </c>
      <c r="H251" s="496">
        <f>SUM(H252,H257)</f>
        <v>181100</v>
      </c>
      <c r="I251" s="496">
        <f>'Pl 2014-17 PFC'!J239</f>
        <v>0</v>
      </c>
      <c r="J251" s="496">
        <f>'Pl 2014-17 PFC'!K239</f>
        <v>169473</v>
      </c>
    </row>
    <row r="252" spans="1:38" hidden="1" x14ac:dyDescent="0.25">
      <c r="A252" s="1049" t="s">
        <v>33</v>
      </c>
      <c r="B252" s="554" t="s">
        <v>457</v>
      </c>
      <c r="C252" s="521" t="s">
        <v>458</v>
      </c>
      <c r="D252" s="496">
        <f>SUM(D253:D253)</f>
        <v>41131</v>
      </c>
      <c r="E252" s="496">
        <f>SUM(E253:E253)</f>
        <v>45573</v>
      </c>
      <c r="F252" s="496">
        <f>SUM(F253:F253)</f>
        <v>45483</v>
      </c>
      <c r="G252" s="496">
        <f>SUM(G253:G253)</f>
        <v>34077</v>
      </c>
      <c r="H252" s="496">
        <f>SUM(H253:H253)</f>
        <v>32120</v>
      </c>
      <c r="I252" s="496">
        <f>'Pl 2014-17 PFC'!J240</f>
        <v>0</v>
      </c>
      <c r="J252" s="496">
        <f>'Pl 2014-17 PFC'!K240</f>
        <v>45573</v>
      </c>
    </row>
    <row r="253" spans="1:38" hidden="1" x14ac:dyDescent="0.25">
      <c r="A253" s="1049" t="s">
        <v>99</v>
      </c>
      <c r="B253" s="554" t="s">
        <v>150</v>
      </c>
      <c r="C253" s="521" t="s">
        <v>290</v>
      </c>
      <c r="D253" s="496">
        <f>SUM(D254,D256)</f>
        <v>41131</v>
      </c>
      <c r="E253" s="496">
        <f>SUM(E254,E256)</f>
        <v>45573</v>
      </c>
      <c r="F253" s="496">
        <f>SUM(F254,F256)</f>
        <v>45483</v>
      </c>
      <c r="G253" s="496">
        <f>SUM(G254,G256)</f>
        <v>34077</v>
      </c>
      <c r="H253" s="496">
        <f>SUM(H254,H256)</f>
        <v>32120</v>
      </c>
      <c r="I253" s="496">
        <f>'Pl 2014-17 PFC'!J241</f>
        <v>0</v>
      </c>
      <c r="J253" s="496">
        <f>'Pl 2014-17 PFC'!K241</f>
        <v>45573</v>
      </c>
    </row>
    <row r="254" spans="1:38" hidden="1" x14ac:dyDescent="0.25">
      <c r="A254" s="1049"/>
      <c r="B254" s="554" t="s">
        <v>291</v>
      </c>
      <c r="C254" s="521">
        <v>6110</v>
      </c>
      <c r="D254" s="496">
        <f>IF(('Pl 2014-17 PFC'!D242)=0,"",'Pl 2014-17 PFC'!D242)</f>
        <v>24883</v>
      </c>
      <c r="E254" s="496">
        <f>IF(('Pl 2014-17 PFC'!E242)=0,"",'Pl 2014-17 PFC'!E242)</f>
        <v>22318</v>
      </c>
      <c r="F254" s="496">
        <f>IF(('Pl 2014-17 PFC'!F242)=0,"",'Pl 2014-17 PFC'!F242)</f>
        <v>26818</v>
      </c>
      <c r="G254" s="496">
        <f>IF(('Pl 2014-17 PFC'!G242)=0,"",'Pl 2014-17 PFC'!G242)</f>
        <v>19819</v>
      </c>
      <c r="H254" s="496">
        <f>IF(('Pl 2014-17 PFC'!H242)=0,"",'Pl 2014-17 PFC'!H242)</f>
        <v>19319</v>
      </c>
      <c r="I254" s="496">
        <f>'Pl 2014-17 PFC'!J242</f>
        <v>0</v>
      </c>
      <c r="J254" s="496">
        <f>'Pl 2014-17 PFC'!K242</f>
        <v>22318</v>
      </c>
    </row>
    <row r="255" spans="1:38" hidden="1" x14ac:dyDescent="0.25">
      <c r="A255" s="1049"/>
      <c r="B255" s="554" t="s">
        <v>292</v>
      </c>
      <c r="C255" s="521" t="s">
        <v>87</v>
      </c>
      <c r="D255" s="496">
        <f>SUM(D256:D256)</f>
        <v>16248</v>
      </c>
      <c r="E255" s="496">
        <f>SUM(E256:E256)</f>
        <v>23255</v>
      </c>
      <c r="F255" s="496">
        <f>SUM(F256:F256)</f>
        <v>18665</v>
      </c>
      <c r="G255" s="496">
        <f>SUM(G256:G256)</f>
        <v>14258</v>
      </c>
      <c r="H255" s="496">
        <f>SUM(H256:H256)</f>
        <v>12801</v>
      </c>
      <c r="I255" s="496">
        <f>'Pl 2014-17 PFC'!J243</f>
        <v>0</v>
      </c>
      <c r="J255" s="496">
        <f>'Pl 2014-17 PFC'!K243</f>
        <v>23255</v>
      </c>
    </row>
    <row r="256" spans="1:38" hidden="1" x14ac:dyDescent="0.25">
      <c r="A256" s="1049"/>
      <c r="B256" s="554" t="s">
        <v>293</v>
      </c>
      <c r="C256" s="521" t="s">
        <v>294</v>
      </c>
      <c r="D256" s="496">
        <f>IF(('Pl 2014-17 PFC'!D244)=0,"",'Pl 2014-17 PFC'!D244)</f>
        <v>16248</v>
      </c>
      <c r="E256" s="496">
        <f>IF(('Pl 2014-17 PFC'!E244)=0,"",'Pl 2014-17 PFC'!E244)</f>
        <v>23255</v>
      </c>
      <c r="F256" s="496">
        <f>IF(('Pl 2014-17 PFC'!F244)=0,"",'Pl 2014-17 PFC'!F244)</f>
        <v>18665</v>
      </c>
      <c r="G256" s="496">
        <f>IF(('Pl 2014-17 PFC'!G244)=0,"",'Pl 2014-17 PFC'!G244)</f>
        <v>14258</v>
      </c>
      <c r="H256" s="496">
        <f>IF(('Pl 2014-17 PFC'!H244)=0,"",'Pl 2014-17 PFC'!H244)</f>
        <v>12801</v>
      </c>
      <c r="I256" s="496">
        <f>'Pl 2014-17 PFC'!J244</f>
        <v>0</v>
      </c>
      <c r="J256" s="496">
        <f>'Pl 2014-17 PFC'!K244</f>
        <v>23255</v>
      </c>
    </row>
    <row r="257" spans="1:38" s="491" customFormat="1" x14ac:dyDescent="0.25">
      <c r="A257" s="1049" t="s">
        <v>33</v>
      </c>
      <c r="B257" s="554" t="s">
        <v>459</v>
      </c>
      <c r="C257" s="521" t="s">
        <v>460</v>
      </c>
      <c r="D257" s="496">
        <f>SUM(D258,D275)</f>
        <v>89747</v>
      </c>
      <c r="E257" s="496">
        <f>SUM(E258,E275)</f>
        <v>123900</v>
      </c>
      <c r="F257" s="496">
        <f>SUM(F258,F275)</f>
        <v>148980</v>
      </c>
      <c r="G257" s="496">
        <f>SUM(G258,G275)</f>
        <v>148980</v>
      </c>
      <c r="H257" s="496">
        <f>SUM(H258,H275)</f>
        <v>148980</v>
      </c>
      <c r="I257" s="496">
        <f>'Pl 2014-17 PFC'!J245</f>
        <v>0</v>
      </c>
      <c r="J257" s="496">
        <f>'Pl 2014-17 PFC'!K245</f>
        <v>123900</v>
      </c>
      <c r="K257" s="488"/>
      <c r="L257" s="488"/>
      <c r="M257" s="488"/>
      <c r="N257" s="488"/>
      <c r="O257" s="488"/>
      <c r="P257" s="488"/>
      <c r="Q257" s="488"/>
      <c r="R257" s="488"/>
      <c r="S257" s="488"/>
      <c r="T257" s="488"/>
      <c r="U257" s="488"/>
      <c r="V257" s="488"/>
      <c r="W257" s="488"/>
      <c r="X257" s="488"/>
      <c r="Y257" s="488"/>
      <c r="Z257" s="488"/>
      <c r="AA257" s="488"/>
      <c r="AB257" s="488"/>
      <c r="AC257" s="488"/>
      <c r="AD257" s="488"/>
      <c r="AE257" s="488"/>
      <c r="AF257" s="488"/>
      <c r="AG257" s="488"/>
      <c r="AH257" s="488"/>
      <c r="AI257" s="488"/>
      <c r="AJ257" s="488"/>
      <c r="AK257" s="490"/>
      <c r="AL257" s="490"/>
    </row>
    <row r="258" spans="1:38" s="491" customFormat="1" x14ac:dyDescent="0.25">
      <c r="A258" s="1049" t="s">
        <v>99</v>
      </c>
      <c r="B258" s="554" t="s">
        <v>461</v>
      </c>
      <c r="C258" s="521" t="s">
        <v>298</v>
      </c>
      <c r="D258" s="496">
        <f>SUM(D259:D259)</f>
        <v>86848</v>
      </c>
      <c r="E258" s="496">
        <f>SUM(E259:E259)</f>
        <v>118600</v>
      </c>
      <c r="F258" s="496">
        <f>SUM(F259:F259)</f>
        <v>139380</v>
      </c>
      <c r="G258" s="496">
        <f>SUM(G259:G259)</f>
        <v>139380</v>
      </c>
      <c r="H258" s="496">
        <f>SUM(H259:H259)</f>
        <v>139380</v>
      </c>
      <c r="I258" s="496">
        <f>'Pl 2014-17 PFC'!J246</f>
        <v>0</v>
      </c>
      <c r="J258" s="496">
        <f>'Pl 2014-17 PFC'!K246</f>
        <v>118600</v>
      </c>
      <c r="K258" s="488"/>
      <c r="L258" s="488"/>
      <c r="M258" s="488"/>
      <c r="N258" s="488"/>
      <c r="O258" s="488"/>
      <c r="P258" s="488"/>
      <c r="Q258" s="488"/>
      <c r="R258" s="488"/>
      <c r="S258" s="488"/>
      <c r="T258" s="488"/>
      <c r="U258" s="488"/>
      <c r="V258" s="488"/>
      <c r="W258" s="488"/>
      <c r="X258" s="488"/>
      <c r="Y258" s="488"/>
      <c r="Z258" s="488"/>
      <c r="AA258" s="488"/>
      <c r="AB258" s="488"/>
      <c r="AC258" s="488"/>
      <c r="AD258" s="488"/>
      <c r="AE258" s="488"/>
      <c r="AF258" s="488"/>
      <c r="AG258" s="488"/>
      <c r="AH258" s="488"/>
      <c r="AI258" s="488"/>
      <c r="AJ258" s="488"/>
      <c r="AK258" s="490"/>
      <c r="AL258" s="490"/>
    </row>
    <row r="259" spans="1:38" s="491" customFormat="1" hidden="1" x14ac:dyDescent="0.25">
      <c r="A259" s="1049"/>
      <c r="B259" s="554" t="s">
        <v>293</v>
      </c>
      <c r="C259" s="521" t="s">
        <v>298</v>
      </c>
      <c r="D259" s="496">
        <f>SUM(D260,D261:D263)</f>
        <v>86848</v>
      </c>
      <c r="E259" s="496">
        <f>SUM(E260,E261:E263)</f>
        <v>118600</v>
      </c>
      <c r="F259" s="496">
        <f>SUM(F260,F261:F263)</f>
        <v>139380</v>
      </c>
      <c r="G259" s="496">
        <f>SUM(G260,G261:G263)</f>
        <v>139380</v>
      </c>
      <c r="H259" s="496">
        <f>SUM(H260,H261:H263)</f>
        <v>139380</v>
      </c>
      <c r="I259" s="496">
        <f>'Pl 2014-17 PFC'!J247</f>
        <v>0</v>
      </c>
      <c r="J259" s="496">
        <f>'Pl 2014-17 PFC'!K247</f>
        <v>118600</v>
      </c>
      <c r="K259" s="488"/>
      <c r="L259" s="488"/>
      <c r="M259" s="488"/>
      <c r="N259" s="488"/>
      <c r="O259" s="488"/>
      <c r="P259" s="488"/>
      <c r="Q259" s="488"/>
      <c r="R259" s="488"/>
      <c r="S259" s="488"/>
      <c r="T259" s="488"/>
      <c r="U259" s="488"/>
      <c r="V259" s="488"/>
      <c r="W259" s="488"/>
      <c r="X259" s="488"/>
      <c r="Y259" s="488"/>
      <c r="Z259" s="488"/>
      <c r="AA259" s="488"/>
      <c r="AB259" s="488"/>
      <c r="AC259" s="488"/>
      <c r="AD259" s="488"/>
      <c r="AE259" s="488"/>
      <c r="AF259" s="488"/>
      <c r="AG259" s="488"/>
      <c r="AH259" s="488"/>
      <c r="AI259" s="488"/>
      <c r="AJ259" s="488"/>
      <c r="AK259" s="490"/>
      <c r="AL259" s="490"/>
    </row>
    <row r="260" spans="1:38" s="491" customFormat="1" hidden="1" x14ac:dyDescent="0.25">
      <c r="A260" s="1049"/>
      <c r="B260" s="554" t="s">
        <v>462</v>
      </c>
      <c r="C260" s="521" t="s">
        <v>298</v>
      </c>
      <c r="D260" s="496">
        <f>IF(('Pl 2014-17 PFC'!D248)=0,"0",'Pl 2014-17 PFC'!D248)</f>
        <v>45200</v>
      </c>
      <c r="E260" s="496">
        <f>IF(('Pl 2014-17 PFC'!E248)=0,"0",'Pl 2014-17 PFC'!E248)</f>
        <v>57500</v>
      </c>
      <c r="F260" s="496">
        <f>IF(('Pl 2014-17 PFC'!F248)=0,"0",'Pl 2014-17 PFC'!F248)</f>
        <v>68700</v>
      </c>
      <c r="G260" s="496">
        <f>IF(('Pl 2014-17 PFC'!G248)=0,"0",'Pl 2014-17 PFC'!G248)</f>
        <v>68700</v>
      </c>
      <c r="H260" s="496">
        <f>IF(('Pl 2014-17 PFC'!H248)=0,"0",'Pl 2014-17 PFC'!H248)</f>
        <v>68700</v>
      </c>
      <c r="I260" s="496">
        <f>'Pl 2014-17 PFC'!J248</f>
        <v>0</v>
      </c>
      <c r="J260" s="496">
        <f>'Pl 2014-17 PFC'!K248</f>
        <v>57500</v>
      </c>
      <c r="K260" s="488"/>
      <c r="L260" s="488"/>
      <c r="M260" s="488"/>
      <c r="N260" s="488"/>
      <c r="O260" s="488"/>
      <c r="P260" s="488"/>
      <c r="Q260" s="488"/>
      <c r="R260" s="488"/>
      <c r="S260" s="488"/>
      <c r="T260" s="488"/>
      <c r="U260" s="488"/>
      <c r="V260" s="488"/>
      <c r="W260" s="488"/>
      <c r="X260" s="488"/>
      <c r="Y260" s="488"/>
      <c r="Z260" s="488"/>
      <c r="AA260" s="488"/>
      <c r="AB260" s="488"/>
      <c r="AC260" s="488"/>
      <c r="AD260" s="488"/>
      <c r="AE260" s="488"/>
      <c r="AF260" s="488"/>
      <c r="AG260" s="488"/>
      <c r="AH260" s="488"/>
      <c r="AI260" s="488"/>
      <c r="AJ260" s="488"/>
      <c r="AK260" s="490"/>
      <c r="AL260" s="490"/>
    </row>
    <row r="261" spans="1:38" s="491" customFormat="1" hidden="1" x14ac:dyDescent="0.25">
      <c r="A261" s="1049"/>
      <c r="B261" s="554" t="s">
        <v>463</v>
      </c>
      <c r="C261" s="521" t="s">
        <v>298</v>
      </c>
      <c r="D261" s="496">
        <f>IF(('Pl 2014-17 PFC'!D250)=0,"",'Pl 2014-17 PFC'!D250)</f>
        <v>84</v>
      </c>
      <c r="E261" s="496">
        <f>IF(('Pl 2014-17 PFC'!E250)=0,"",'Pl 2014-17 PFC'!E250)</f>
        <v>100</v>
      </c>
      <c r="F261" s="496">
        <f>IF(('Pl 2014-17 PFC'!F250)=0,"",'Pl 2014-17 PFC'!F250)</f>
        <v>100</v>
      </c>
      <c r="G261" s="496">
        <f>IF(('Pl 2014-17 PFC'!G250)=0,"",'Pl 2014-17 PFC'!G250)</f>
        <v>100</v>
      </c>
      <c r="H261" s="496">
        <f>IF(('Pl 2014-17 PFC'!H250)=0,"",'Pl 2014-17 PFC'!H250)</f>
        <v>100</v>
      </c>
      <c r="I261" s="496">
        <f>'Pl 2014-17 PFC'!J250</f>
        <v>0</v>
      </c>
      <c r="J261" s="496">
        <f>'Pl 2014-17 PFC'!K250</f>
        <v>100</v>
      </c>
      <c r="K261" s="488"/>
      <c r="L261" s="488"/>
      <c r="M261" s="488"/>
      <c r="N261" s="488"/>
      <c r="O261" s="488"/>
      <c r="P261" s="488"/>
      <c r="Q261" s="488"/>
      <c r="R261" s="488"/>
      <c r="S261" s="488"/>
      <c r="T261" s="488"/>
      <c r="U261" s="488"/>
      <c r="V261" s="488"/>
      <c r="W261" s="488"/>
      <c r="X261" s="488"/>
      <c r="Y261" s="488"/>
      <c r="Z261" s="488"/>
      <c r="AA261" s="488"/>
      <c r="AB261" s="488"/>
      <c r="AC261" s="488"/>
      <c r="AD261" s="488"/>
      <c r="AE261" s="488"/>
      <c r="AF261" s="488"/>
      <c r="AG261" s="488"/>
      <c r="AH261" s="488"/>
      <c r="AI261" s="488"/>
      <c r="AJ261" s="488"/>
      <c r="AK261" s="490"/>
      <c r="AL261" s="490"/>
    </row>
    <row r="262" spans="1:38" s="491" customFormat="1" hidden="1" x14ac:dyDescent="0.25">
      <c r="A262" s="1049"/>
      <c r="B262" s="554" t="s">
        <v>411</v>
      </c>
      <c r="C262" s="521" t="s">
        <v>298</v>
      </c>
      <c r="D262" s="496">
        <f>'Pl 2014-17 PFC'!D249</f>
        <v>0</v>
      </c>
      <c r="E262" s="496">
        <f>'Pl 2014-17 PFC'!E249</f>
        <v>1000</v>
      </c>
      <c r="F262" s="496">
        <f>'Pl 2014-17 PFC'!F249</f>
        <v>0</v>
      </c>
      <c r="G262" s="496">
        <f>'Pl 2014-17 PFC'!G249</f>
        <v>0</v>
      </c>
      <c r="H262" s="496">
        <f>'Pl 2014-17 PFC'!H249</f>
        <v>0</v>
      </c>
      <c r="I262" s="496">
        <f>'Pl 2014-17 PFC'!J249</f>
        <v>0</v>
      </c>
      <c r="J262" s="496">
        <f>'Pl 2014-17 PFC'!K249</f>
        <v>1000</v>
      </c>
      <c r="K262" s="488"/>
      <c r="L262" s="488"/>
      <c r="M262" s="488"/>
      <c r="N262" s="488"/>
      <c r="O262" s="488"/>
      <c r="P262" s="488"/>
      <c r="Q262" s="488"/>
      <c r="R262" s="488"/>
      <c r="S262" s="488"/>
      <c r="T262" s="488"/>
      <c r="U262" s="488"/>
      <c r="V262" s="488"/>
      <c r="W262" s="488"/>
      <c r="X262" s="488"/>
      <c r="Y262" s="488"/>
      <c r="Z262" s="488"/>
      <c r="AA262" s="488"/>
      <c r="AB262" s="488"/>
      <c r="AC262" s="488"/>
      <c r="AD262" s="488"/>
      <c r="AE262" s="488"/>
      <c r="AF262" s="488"/>
      <c r="AG262" s="488"/>
      <c r="AH262" s="488"/>
      <c r="AI262" s="488"/>
      <c r="AJ262" s="488"/>
      <c r="AK262" s="490"/>
      <c r="AL262" s="490"/>
    </row>
    <row r="263" spans="1:38" s="491" customFormat="1" ht="31.5" hidden="1" x14ac:dyDescent="0.25">
      <c r="A263" s="1049"/>
      <c r="B263" s="555" t="s">
        <v>464</v>
      </c>
      <c r="C263" s="521" t="s">
        <v>298</v>
      </c>
      <c r="D263" s="496">
        <f>SUM(D264:D273)</f>
        <v>41564</v>
      </c>
      <c r="E263" s="496">
        <f>SUM(E264:E273)</f>
        <v>60000</v>
      </c>
      <c r="F263" s="496">
        <f>SUM(F264:F273)</f>
        <v>70580</v>
      </c>
      <c r="G263" s="496">
        <f>SUM(G264:G273)</f>
        <v>70580</v>
      </c>
      <c r="H263" s="496">
        <f>SUM(H264:H273)</f>
        <v>70580</v>
      </c>
      <c r="I263" s="496">
        <f>'Pl 2014-17 PFC'!J251</f>
        <v>0</v>
      </c>
      <c r="J263" s="496">
        <f>'Pl 2014-17 PFC'!K251</f>
        <v>60000</v>
      </c>
      <c r="K263" s="488"/>
      <c r="L263" s="488"/>
      <c r="M263" s="488"/>
      <c r="N263" s="488"/>
      <c r="O263" s="488"/>
      <c r="P263" s="488"/>
      <c r="Q263" s="488"/>
      <c r="R263" s="488"/>
      <c r="S263" s="488"/>
      <c r="T263" s="488"/>
      <c r="U263" s="488"/>
      <c r="V263" s="488"/>
      <c r="W263" s="488"/>
      <c r="X263" s="488"/>
      <c r="Y263" s="488"/>
      <c r="Z263" s="488"/>
      <c r="AA263" s="488"/>
      <c r="AB263" s="488"/>
      <c r="AC263" s="488"/>
      <c r="AD263" s="488"/>
      <c r="AE263" s="488"/>
      <c r="AF263" s="488"/>
      <c r="AG263" s="488"/>
      <c r="AH263" s="488"/>
      <c r="AI263" s="488"/>
      <c r="AJ263" s="488"/>
      <c r="AK263" s="490"/>
      <c r="AL263" s="490"/>
    </row>
    <row r="264" spans="1:38" s="491" customFormat="1" hidden="1" x14ac:dyDescent="0.25">
      <c r="A264" s="1049"/>
      <c r="B264" s="554" t="s">
        <v>166</v>
      </c>
      <c r="C264" s="521" t="s">
        <v>298</v>
      </c>
      <c r="D264" s="496">
        <f>'Pl 2014-17 PFC'!D252</f>
        <v>0</v>
      </c>
      <c r="E264" s="496">
        <f>'Pl 2014-17 PFC'!E252</f>
        <v>0</v>
      </c>
      <c r="F264" s="496">
        <f>'Pl 2014-17 PFC'!F252</f>
        <v>0</v>
      </c>
      <c r="G264" s="496">
        <f>'Pl 2014-17 PFC'!G252</f>
        <v>0</v>
      </c>
      <c r="H264" s="496">
        <f>'Pl 2014-17 PFC'!H252</f>
        <v>0</v>
      </c>
      <c r="I264" s="496">
        <f>'Pl 2014-17 PFC'!J252</f>
        <v>0</v>
      </c>
      <c r="J264" s="496">
        <f>'Pl 2014-17 PFC'!K252</f>
        <v>0</v>
      </c>
      <c r="K264" s="488"/>
      <c r="L264" s="488"/>
      <c r="M264" s="488"/>
      <c r="N264" s="488"/>
      <c r="O264" s="488"/>
      <c r="P264" s="488"/>
      <c r="Q264" s="488"/>
      <c r="R264" s="488"/>
      <c r="S264" s="488"/>
      <c r="T264" s="488"/>
      <c r="U264" s="488"/>
      <c r="V264" s="488"/>
      <c r="W264" s="488"/>
      <c r="X264" s="488"/>
      <c r="Y264" s="488"/>
      <c r="Z264" s="488"/>
      <c r="AA264" s="488"/>
      <c r="AB264" s="488"/>
      <c r="AC264" s="488"/>
      <c r="AD264" s="488"/>
      <c r="AE264" s="488"/>
      <c r="AF264" s="488"/>
      <c r="AG264" s="488"/>
      <c r="AH264" s="488"/>
      <c r="AI264" s="488"/>
      <c r="AJ264" s="488"/>
      <c r="AK264" s="490"/>
      <c r="AL264" s="490"/>
    </row>
    <row r="265" spans="1:38" s="491" customFormat="1" hidden="1" x14ac:dyDescent="0.25">
      <c r="A265" s="1049"/>
      <c r="B265" s="554" t="s">
        <v>303</v>
      </c>
      <c r="C265" s="521" t="s">
        <v>298</v>
      </c>
      <c r="D265" s="496">
        <f>'Pl 2014-17 PFC'!D253</f>
        <v>0</v>
      </c>
      <c r="E265" s="496">
        <f>'Pl 2014-17 PFC'!E253</f>
        <v>0</v>
      </c>
      <c r="F265" s="496">
        <f>'Pl 2014-17 PFC'!F253</f>
        <v>0</v>
      </c>
      <c r="G265" s="496">
        <f>'Pl 2014-17 PFC'!G253</f>
        <v>0</v>
      </c>
      <c r="H265" s="496">
        <f>'Pl 2014-17 PFC'!H253</f>
        <v>0</v>
      </c>
      <c r="I265" s="496">
        <f>'Pl 2014-17 PFC'!J253</f>
        <v>0</v>
      </c>
      <c r="J265" s="496">
        <f>'Pl 2014-17 PFC'!K253</f>
        <v>0</v>
      </c>
      <c r="K265" s="488"/>
      <c r="L265" s="488"/>
      <c r="M265" s="488"/>
      <c r="N265" s="488"/>
      <c r="O265" s="488"/>
      <c r="P265" s="488"/>
      <c r="Q265" s="488"/>
      <c r="R265" s="488"/>
      <c r="S265" s="488"/>
      <c r="T265" s="488"/>
      <c r="U265" s="488"/>
      <c r="V265" s="488"/>
      <c r="W265" s="488"/>
      <c r="X265" s="488"/>
      <c r="Y265" s="488"/>
      <c r="Z265" s="488"/>
      <c r="AA265" s="488"/>
      <c r="AB265" s="488"/>
      <c r="AC265" s="488"/>
      <c r="AD265" s="488"/>
      <c r="AE265" s="488"/>
      <c r="AF265" s="488"/>
      <c r="AG265" s="488"/>
      <c r="AH265" s="488"/>
      <c r="AI265" s="488"/>
      <c r="AJ265" s="488"/>
      <c r="AK265" s="490"/>
      <c r="AL265" s="490"/>
    </row>
    <row r="266" spans="1:38" s="491" customFormat="1" hidden="1" x14ac:dyDescent="0.25">
      <c r="A266" s="1049"/>
      <c r="B266" s="554" t="s">
        <v>403</v>
      </c>
      <c r="C266" s="521" t="s">
        <v>298</v>
      </c>
      <c r="D266" s="496">
        <f>'Pl 2014-17 PFC'!D254</f>
        <v>0</v>
      </c>
      <c r="E266" s="496">
        <f>'Pl 2014-17 PFC'!E254</f>
        <v>0</v>
      </c>
      <c r="F266" s="496">
        <f>'Pl 2014-17 PFC'!F254</f>
        <v>0</v>
      </c>
      <c r="G266" s="496">
        <f>'Pl 2014-17 PFC'!G254</f>
        <v>0</v>
      </c>
      <c r="H266" s="496">
        <f>'Pl 2014-17 PFC'!H254</f>
        <v>0</v>
      </c>
      <c r="I266" s="496">
        <f>'Pl 2014-17 PFC'!J254</f>
        <v>0</v>
      </c>
      <c r="J266" s="496">
        <f>'Pl 2014-17 PFC'!K254</f>
        <v>0</v>
      </c>
      <c r="K266" s="488"/>
      <c r="L266" s="488"/>
      <c r="M266" s="488"/>
      <c r="N266" s="488"/>
      <c r="O266" s="488"/>
      <c r="P266" s="488"/>
      <c r="Q266" s="488"/>
      <c r="R266" s="488"/>
      <c r="S266" s="488"/>
      <c r="T266" s="488"/>
      <c r="U266" s="488"/>
      <c r="V266" s="488"/>
      <c r="W266" s="488"/>
      <c r="X266" s="488"/>
      <c r="Y266" s="488"/>
      <c r="Z266" s="488"/>
      <c r="AA266" s="488"/>
      <c r="AB266" s="488"/>
      <c r="AC266" s="488"/>
      <c r="AD266" s="488"/>
      <c r="AE266" s="488"/>
      <c r="AF266" s="488"/>
      <c r="AG266" s="488"/>
      <c r="AH266" s="488"/>
      <c r="AI266" s="488"/>
      <c r="AJ266" s="488"/>
      <c r="AK266" s="490"/>
      <c r="AL266" s="490"/>
    </row>
    <row r="267" spans="1:38" s="491" customFormat="1" hidden="1" x14ac:dyDescent="0.25">
      <c r="A267" s="1049"/>
      <c r="B267" s="554" t="s">
        <v>168</v>
      </c>
      <c r="C267" s="521" t="s">
        <v>298</v>
      </c>
      <c r="D267" s="496">
        <f>'Pl 2014-17 PFC'!D255</f>
        <v>0</v>
      </c>
      <c r="E267" s="496">
        <f>'Pl 2014-17 PFC'!E255</f>
        <v>0</v>
      </c>
      <c r="F267" s="496">
        <f>'Pl 2014-17 PFC'!F255</f>
        <v>0</v>
      </c>
      <c r="G267" s="496">
        <f>'Pl 2014-17 PFC'!G255</f>
        <v>0</v>
      </c>
      <c r="H267" s="496">
        <f>'Pl 2014-17 PFC'!H255</f>
        <v>0</v>
      </c>
      <c r="I267" s="496">
        <f>'Pl 2014-17 PFC'!J255</f>
        <v>0</v>
      </c>
      <c r="J267" s="496">
        <f>'Pl 2014-17 PFC'!K255</f>
        <v>0</v>
      </c>
      <c r="K267" s="488"/>
      <c r="L267" s="488"/>
      <c r="M267" s="488"/>
      <c r="N267" s="488"/>
      <c r="O267" s="488"/>
      <c r="P267" s="488"/>
      <c r="Q267" s="488"/>
      <c r="R267" s="488"/>
      <c r="S267" s="488"/>
      <c r="T267" s="488"/>
      <c r="U267" s="488"/>
      <c r="V267" s="488"/>
      <c r="W267" s="488"/>
      <c r="X267" s="488"/>
      <c r="Y267" s="488"/>
      <c r="Z267" s="488"/>
      <c r="AA267" s="488"/>
      <c r="AB267" s="488"/>
      <c r="AC267" s="488"/>
      <c r="AD267" s="488"/>
      <c r="AE267" s="488"/>
      <c r="AF267" s="488"/>
      <c r="AG267" s="488"/>
      <c r="AH267" s="488"/>
      <c r="AI267" s="488"/>
      <c r="AJ267" s="488"/>
      <c r="AK267" s="490"/>
      <c r="AL267" s="490"/>
    </row>
    <row r="268" spans="1:38" s="491" customFormat="1" hidden="1" x14ac:dyDescent="0.25">
      <c r="A268" s="1049"/>
      <c r="B268" s="554" t="s">
        <v>169</v>
      </c>
      <c r="C268" s="521" t="s">
        <v>298</v>
      </c>
      <c r="D268" s="496">
        <f>'Pl 2014-17 PFC'!D256</f>
        <v>0</v>
      </c>
      <c r="E268" s="496">
        <f>'Pl 2014-17 PFC'!E256</f>
        <v>0</v>
      </c>
      <c r="F268" s="496">
        <f>'Pl 2014-17 PFC'!F256</f>
        <v>0</v>
      </c>
      <c r="G268" s="496">
        <f>'Pl 2014-17 PFC'!G256</f>
        <v>0</v>
      </c>
      <c r="H268" s="496">
        <f>'Pl 2014-17 PFC'!H256</f>
        <v>0</v>
      </c>
      <c r="I268" s="496">
        <f>'Pl 2014-17 PFC'!J256</f>
        <v>0</v>
      </c>
      <c r="J268" s="496">
        <f>'Pl 2014-17 PFC'!K256</f>
        <v>0</v>
      </c>
      <c r="K268" s="488"/>
      <c r="L268" s="488"/>
      <c r="M268" s="488"/>
      <c r="N268" s="488"/>
      <c r="O268" s="488"/>
      <c r="P268" s="488"/>
      <c r="Q268" s="488"/>
      <c r="R268" s="488"/>
      <c r="S268" s="488"/>
      <c r="T268" s="488"/>
      <c r="U268" s="488"/>
      <c r="V268" s="488"/>
      <c r="W268" s="488"/>
      <c r="X268" s="488"/>
      <c r="Y268" s="488"/>
      <c r="Z268" s="488"/>
      <c r="AA268" s="488"/>
      <c r="AB268" s="488"/>
      <c r="AC268" s="488"/>
      <c r="AD268" s="488"/>
      <c r="AE268" s="488"/>
      <c r="AF268" s="488"/>
      <c r="AG268" s="488"/>
      <c r="AH268" s="488"/>
      <c r="AI268" s="488"/>
      <c r="AJ268" s="488"/>
      <c r="AK268" s="490"/>
      <c r="AL268" s="490"/>
    </row>
    <row r="269" spans="1:38" s="491" customFormat="1" hidden="1" x14ac:dyDescent="0.25">
      <c r="A269" s="1049"/>
      <c r="B269" s="554" t="s">
        <v>174</v>
      </c>
      <c r="C269" s="521" t="s">
        <v>298</v>
      </c>
      <c r="D269" s="496">
        <f>'Pl 2014-17 PFC'!D257</f>
        <v>0</v>
      </c>
      <c r="E269" s="496">
        <f>'Pl 2014-17 PFC'!E257</f>
        <v>0</v>
      </c>
      <c r="F269" s="496">
        <f>'Pl 2014-17 PFC'!F257</f>
        <v>0</v>
      </c>
      <c r="G269" s="496">
        <f>'Pl 2014-17 PFC'!G257</f>
        <v>0</v>
      </c>
      <c r="H269" s="496">
        <f>'Pl 2014-17 PFC'!H257</f>
        <v>0</v>
      </c>
      <c r="I269" s="496">
        <f>'Pl 2014-17 PFC'!J257</f>
        <v>0</v>
      </c>
      <c r="J269" s="496">
        <f>'Pl 2014-17 PFC'!K257</f>
        <v>0</v>
      </c>
      <c r="K269" s="488"/>
      <c r="L269" s="488"/>
      <c r="M269" s="488"/>
      <c r="N269" s="488"/>
      <c r="O269" s="488"/>
      <c r="P269" s="488"/>
      <c r="Q269" s="488"/>
      <c r="R269" s="488"/>
      <c r="S269" s="488"/>
      <c r="T269" s="488"/>
      <c r="U269" s="488"/>
      <c r="V269" s="488"/>
      <c r="W269" s="488"/>
      <c r="X269" s="488"/>
      <c r="Y269" s="488"/>
      <c r="Z269" s="488"/>
      <c r="AA269" s="488"/>
      <c r="AB269" s="488"/>
      <c r="AC269" s="488"/>
      <c r="AD269" s="488"/>
      <c r="AE269" s="488"/>
      <c r="AF269" s="488"/>
      <c r="AG269" s="488"/>
      <c r="AH269" s="488"/>
      <c r="AI269" s="488"/>
      <c r="AJ269" s="488"/>
      <c r="AK269" s="490"/>
      <c r="AL269" s="490"/>
    </row>
    <row r="270" spans="1:38" s="491" customFormat="1" hidden="1" x14ac:dyDescent="0.25">
      <c r="A270" s="1049"/>
      <c r="B270" s="554" t="s">
        <v>175</v>
      </c>
      <c r="C270" s="521" t="s">
        <v>298</v>
      </c>
      <c r="D270" s="496">
        <f>'Pl 2014-17 PFC'!D258</f>
        <v>0</v>
      </c>
      <c r="E270" s="496">
        <f>'Pl 2014-17 PFC'!E258</f>
        <v>0</v>
      </c>
      <c r="F270" s="496">
        <f>'Pl 2014-17 PFC'!F258</f>
        <v>0</v>
      </c>
      <c r="G270" s="496">
        <f>'Pl 2014-17 PFC'!G258</f>
        <v>0</v>
      </c>
      <c r="H270" s="496">
        <f>'Pl 2014-17 PFC'!H258</f>
        <v>0</v>
      </c>
      <c r="I270" s="496">
        <f>'Pl 2014-17 PFC'!J258</f>
        <v>0</v>
      </c>
      <c r="J270" s="496">
        <f>'Pl 2014-17 PFC'!K258</f>
        <v>0</v>
      </c>
      <c r="K270" s="488"/>
      <c r="L270" s="488"/>
      <c r="M270" s="488"/>
      <c r="N270" s="488"/>
      <c r="O270" s="488"/>
      <c r="P270" s="488"/>
      <c r="Q270" s="488"/>
      <c r="R270" s="488"/>
      <c r="S270" s="488"/>
      <c r="T270" s="488"/>
      <c r="U270" s="488"/>
      <c r="V270" s="488"/>
      <c r="W270" s="488"/>
      <c r="X270" s="488"/>
      <c r="Y270" s="488"/>
      <c r="Z270" s="488"/>
      <c r="AA270" s="488"/>
      <c r="AB270" s="488"/>
      <c r="AC270" s="488"/>
      <c r="AD270" s="488"/>
      <c r="AE270" s="488"/>
      <c r="AF270" s="488"/>
      <c r="AG270" s="488"/>
      <c r="AH270" s="488"/>
      <c r="AI270" s="488"/>
      <c r="AJ270" s="488"/>
      <c r="AK270" s="490"/>
      <c r="AL270" s="490"/>
    </row>
    <row r="271" spans="1:38" s="491" customFormat="1" hidden="1" x14ac:dyDescent="0.25">
      <c r="A271" s="1049"/>
      <c r="B271" s="554" t="s">
        <v>178</v>
      </c>
      <c r="C271" s="521" t="s">
        <v>298</v>
      </c>
      <c r="D271" s="496">
        <f>'Pl 2014-17 PFC'!D259</f>
        <v>0</v>
      </c>
      <c r="E271" s="496">
        <f>'Pl 2014-17 PFC'!E259</f>
        <v>0</v>
      </c>
      <c r="F271" s="496">
        <f>'Pl 2014-17 PFC'!F259</f>
        <v>0</v>
      </c>
      <c r="G271" s="496">
        <f>'Pl 2014-17 PFC'!G259</f>
        <v>0</v>
      </c>
      <c r="H271" s="496">
        <f>'Pl 2014-17 PFC'!H259</f>
        <v>0</v>
      </c>
      <c r="I271" s="496">
        <f>'Pl 2014-17 PFC'!J259</f>
        <v>0</v>
      </c>
      <c r="J271" s="496">
        <f>'Pl 2014-17 PFC'!K259</f>
        <v>0</v>
      </c>
      <c r="K271" s="488"/>
      <c r="L271" s="488"/>
      <c r="M271" s="488"/>
      <c r="N271" s="488"/>
      <c r="O271" s="488"/>
      <c r="P271" s="488"/>
      <c r="Q271" s="488"/>
      <c r="R271" s="488"/>
      <c r="S271" s="488"/>
      <c r="T271" s="488"/>
      <c r="U271" s="488"/>
      <c r="V271" s="488"/>
      <c r="W271" s="488"/>
      <c r="X271" s="488"/>
      <c r="Y271" s="488"/>
      <c r="Z271" s="488"/>
      <c r="AA271" s="488"/>
      <c r="AB271" s="488"/>
      <c r="AC271" s="488"/>
      <c r="AD271" s="488"/>
      <c r="AE271" s="488"/>
      <c r="AF271" s="488"/>
      <c r="AG271" s="488"/>
      <c r="AH271" s="488"/>
      <c r="AI271" s="488"/>
      <c r="AJ271" s="488"/>
      <c r="AK271" s="490"/>
      <c r="AL271" s="490"/>
    </row>
    <row r="272" spans="1:38" s="491" customFormat="1" hidden="1" x14ac:dyDescent="0.25">
      <c r="A272" s="1049"/>
      <c r="B272" s="554" t="s">
        <v>177</v>
      </c>
      <c r="C272" s="521"/>
      <c r="D272" s="496">
        <f>'Pl 2014-17 PFC'!D260</f>
        <v>41564</v>
      </c>
      <c r="E272" s="496">
        <f>'Pl 2014-17 PFC'!E260</f>
        <v>60000</v>
      </c>
      <c r="F272" s="496">
        <f>'Pl 2014-17 PFC'!F260</f>
        <v>60000</v>
      </c>
      <c r="G272" s="496">
        <f>'Pl 2014-17 PFC'!G260</f>
        <v>60000</v>
      </c>
      <c r="H272" s="496">
        <f>'Pl 2014-17 PFC'!H260</f>
        <v>60000</v>
      </c>
      <c r="I272" s="496">
        <f>'Pl 2014-17 PFC'!J260</f>
        <v>0</v>
      </c>
      <c r="J272" s="496">
        <f>'Pl 2014-17 PFC'!K260</f>
        <v>60000</v>
      </c>
      <c r="K272" s="488"/>
      <c r="L272" s="488"/>
      <c r="M272" s="488"/>
      <c r="N272" s="488"/>
      <c r="O272" s="488"/>
      <c r="P272" s="488"/>
      <c r="Q272" s="488"/>
      <c r="R272" s="488"/>
      <c r="S272" s="488"/>
      <c r="T272" s="488"/>
      <c r="U272" s="488"/>
      <c r="V272" s="488"/>
      <c r="W272" s="488"/>
      <c r="X272" s="488"/>
      <c r="Y272" s="488"/>
      <c r="Z272" s="488"/>
      <c r="AA272" s="488"/>
      <c r="AB272" s="488"/>
      <c r="AC272" s="488"/>
      <c r="AD272" s="488"/>
      <c r="AE272" s="488"/>
      <c r="AF272" s="488"/>
      <c r="AG272" s="488"/>
      <c r="AH272" s="488"/>
      <c r="AI272" s="488"/>
      <c r="AJ272" s="488"/>
      <c r="AK272" s="490"/>
      <c r="AL272" s="490"/>
    </row>
    <row r="273" spans="1:38" s="491" customFormat="1" hidden="1" x14ac:dyDescent="0.25">
      <c r="A273" s="1049"/>
      <c r="B273" s="554" t="s">
        <v>198</v>
      </c>
      <c r="C273" s="521" t="s">
        <v>298</v>
      </c>
      <c r="D273" s="496">
        <f>'Pl 2014-17 PFC'!D261</f>
        <v>0</v>
      </c>
      <c r="E273" s="496">
        <f>'Pl 2014-17 PFC'!E261</f>
        <v>0</v>
      </c>
      <c r="F273" s="496">
        <f>'Pl 2014-17 PFC'!F261</f>
        <v>10580</v>
      </c>
      <c r="G273" s="496">
        <f>'Pl 2014-17 PFC'!G261</f>
        <v>10580</v>
      </c>
      <c r="H273" s="496">
        <f>'Pl 2014-17 PFC'!H261</f>
        <v>10580</v>
      </c>
      <c r="I273" s="496">
        <f>'Pl 2014-17 PFC'!J261</f>
        <v>0</v>
      </c>
      <c r="J273" s="496">
        <f>'Pl 2014-17 PFC'!K261</f>
        <v>0</v>
      </c>
      <c r="K273" s="488"/>
      <c r="L273" s="488"/>
      <c r="M273" s="488"/>
      <c r="N273" s="488"/>
      <c r="O273" s="488"/>
      <c r="P273" s="488"/>
      <c r="Q273" s="488"/>
      <c r="R273" s="488"/>
      <c r="S273" s="488"/>
      <c r="T273" s="488"/>
      <c r="U273" s="488"/>
      <c r="V273" s="488"/>
      <c r="W273" s="488"/>
      <c r="X273" s="488"/>
      <c r="Y273" s="488"/>
      <c r="Z273" s="488"/>
      <c r="AA273" s="488"/>
      <c r="AB273" s="488"/>
      <c r="AC273" s="488"/>
      <c r="AD273" s="488"/>
      <c r="AE273" s="488"/>
      <c r="AF273" s="488"/>
      <c r="AG273" s="488"/>
      <c r="AH273" s="488"/>
      <c r="AI273" s="488"/>
      <c r="AJ273" s="488"/>
      <c r="AK273" s="490"/>
      <c r="AL273" s="490"/>
    </row>
    <row r="274" spans="1:38" s="491" customFormat="1" hidden="1" x14ac:dyDescent="0.25">
      <c r="A274" s="1049"/>
      <c r="B274" s="554"/>
      <c r="C274" s="521"/>
      <c r="D274" s="496"/>
      <c r="E274" s="496"/>
      <c r="F274" s="496"/>
      <c r="G274" s="496"/>
      <c r="H274" s="496"/>
      <c r="I274" s="496">
        <f>'Pl 2014-17 PFC'!J262</f>
        <v>0</v>
      </c>
      <c r="J274" s="496">
        <f>'Pl 2014-17 PFC'!K262</f>
        <v>0</v>
      </c>
      <c r="K274" s="488"/>
      <c r="L274" s="488"/>
      <c r="M274" s="488"/>
      <c r="N274" s="488"/>
      <c r="O274" s="488"/>
      <c r="P274" s="488"/>
      <c r="Q274" s="488"/>
      <c r="R274" s="488"/>
      <c r="S274" s="488"/>
      <c r="T274" s="488"/>
      <c r="U274" s="488"/>
      <c r="V274" s="488"/>
      <c r="W274" s="488"/>
      <c r="X274" s="488"/>
      <c r="Y274" s="488"/>
      <c r="Z274" s="488"/>
      <c r="AA274" s="488"/>
      <c r="AB274" s="488"/>
      <c r="AC274" s="488"/>
      <c r="AD274" s="488"/>
      <c r="AE274" s="488"/>
      <c r="AF274" s="488"/>
      <c r="AG274" s="488"/>
      <c r="AH274" s="488"/>
      <c r="AI274" s="488"/>
      <c r="AJ274" s="488"/>
      <c r="AK274" s="490"/>
      <c r="AL274" s="490"/>
    </row>
    <row r="275" spans="1:38" s="491" customFormat="1" x14ac:dyDescent="0.25">
      <c r="A275" s="1049" t="s">
        <v>100</v>
      </c>
      <c r="B275" s="554" t="s">
        <v>465</v>
      </c>
      <c r="C275" s="521" t="s">
        <v>307</v>
      </c>
      <c r="D275" s="496">
        <f>SUM(D276:D276)</f>
        <v>2899</v>
      </c>
      <c r="E275" s="496">
        <f>SUM(E276:E276)</f>
        <v>5300</v>
      </c>
      <c r="F275" s="496">
        <f>SUM(F276:F276)</f>
        <v>9600</v>
      </c>
      <c r="G275" s="496">
        <f>SUM(G276:G276)</f>
        <v>9600</v>
      </c>
      <c r="H275" s="496">
        <f>SUM(H276:H276)</f>
        <v>9600</v>
      </c>
      <c r="I275" s="496">
        <f>'Pl 2014-17 PFC'!J263</f>
        <v>0</v>
      </c>
      <c r="J275" s="496">
        <f>'Pl 2014-17 PFC'!K263</f>
        <v>5300</v>
      </c>
      <c r="K275" s="574">
        <f>K295*0.005</f>
        <v>750000</v>
      </c>
      <c r="L275" s="574">
        <f>L295*0.005</f>
        <v>750</v>
      </c>
      <c r="M275" s="574"/>
      <c r="N275" s="488"/>
      <c r="O275" s="488"/>
      <c r="P275" s="488"/>
      <c r="Q275" s="488"/>
      <c r="R275" s="488"/>
      <c r="S275" s="488"/>
      <c r="T275" s="488"/>
      <c r="U275" s="488"/>
      <c r="V275" s="488"/>
      <c r="W275" s="488"/>
      <c r="X275" s="488"/>
      <c r="Y275" s="488"/>
      <c r="Z275" s="488"/>
      <c r="AA275" s="488"/>
      <c r="AB275" s="488"/>
      <c r="AC275" s="488"/>
      <c r="AD275" s="488"/>
      <c r="AE275" s="488"/>
      <c r="AF275" s="488"/>
      <c r="AG275" s="488"/>
      <c r="AH275" s="488"/>
      <c r="AI275" s="488"/>
      <c r="AJ275" s="488"/>
      <c r="AK275" s="490"/>
      <c r="AL275" s="490"/>
    </row>
    <row r="276" spans="1:38" s="491" customFormat="1" hidden="1" x14ac:dyDescent="0.25">
      <c r="A276" s="1049"/>
      <c r="B276" s="569" t="s">
        <v>293</v>
      </c>
      <c r="C276" s="521" t="s">
        <v>307</v>
      </c>
      <c r="D276" s="496">
        <f>SUM(D277:D281)</f>
        <v>2899</v>
      </c>
      <c r="E276" s="496">
        <f>SUM(E277:E281)</f>
        <v>5300</v>
      </c>
      <c r="F276" s="496">
        <f>SUM(F277:F281)</f>
        <v>9600</v>
      </c>
      <c r="G276" s="496">
        <f>SUM(G277:G281)</f>
        <v>9600</v>
      </c>
      <c r="H276" s="496">
        <f>SUM(H277:H281)</f>
        <v>9600</v>
      </c>
      <c r="I276" s="496">
        <f>'Pl 2014-17 PFC'!J264</f>
        <v>0</v>
      </c>
      <c r="J276" s="496">
        <f>'Pl 2014-17 PFC'!K264</f>
        <v>5300</v>
      </c>
      <c r="K276" s="574"/>
      <c r="L276" s="574"/>
      <c r="M276" s="574"/>
      <c r="N276" s="488"/>
      <c r="O276" s="488"/>
      <c r="P276" s="488"/>
      <c r="Q276" s="488"/>
      <c r="R276" s="488"/>
      <c r="S276" s="488"/>
      <c r="T276" s="488"/>
      <c r="U276" s="488"/>
      <c r="V276" s="488"/>
      <c r="W276" s="488"/>
      <c r="X276" s="488"/>
      <c r="Y276" s="488"/>
      <c r="Z276" s="488"/>
      <c r="AA276" s="488"/>
      <c r="AB276" s="488"/>
      <c r="AC276" s="488"/>
      <c r="AD276" s="488"/>
      <c r="AE276" s="488"/>
      <c r="AF276" s="488"/>
      <c r="AG276" s="488"/>
      <c r="AH276" s="488"/>
      <c r="AI276" s="488"/>
      <c r="AJ276" s="488"/>
      <c r="AK276" s="490"/>
      <c r="AL276" s="490"/>
    </row>
    <row r="277" spans="1:38" s="491" customFormat="1" hidden="1" x14ac:dyDescent="0.25">
      <c r="A277" s="1049"/>
      <c r="B277" s="544" t="s">
        <v>398</v>
      </c>
      <c r="C277" s="521" t="s">
        <v>298</v>
      </c>
      <c r="D277" s="496">
        <f>IF(('Pl 2014-17 PFC'!D265)=0,"0",'Pl 2014-17 PFC'!D265)</f>
        <v>133</v>
      </c>
      <c r="E277" s="496">
        <f>IF(('Pl 2014-17 PFC'!E265)=0,"0",'Pl 2014-17 PFC'!E265)</f>
        <v>1000</v>
      </c>
      <c r="F277" s="496">
        <f>IF(('Pl 2014-17 PFC'!F265)=0,"0",'Pl 2014-17 PFC'!F265)</f>
        <v>2400</v>
      </c>
      <c r="G277" s="496">
        <f>IF(('Pl 2014-17 PFC'!G265)=0,"0",'Pl 2014-17 PFC'!G265)</f>
        <v>2400</v>
      </c>
      <c r="H277" s="496">
        <f>IF(('Pl 2014-17 PFC'!H265)=0,"0",'Pl 2014-17 PFC'!H265)</f>
        <v>2400</v>
      </c>
      <c r="I277" s="496">
        <f>'Pl 2014-17 PFC'!J265</f>
        <v>0</v>
      </c>
      <c r="J277" s="496">
        <f>'Pl 2014-17 PFC'!K265</f>
        <v>1000</v>
      </c>
      <c r="K277" s="574"/>
      <c r="L277" s="574"/>
      <c r="M277" s="574"/>
      <c r="N277" s="488"/>
      <c r="O277" s="488"/>
      <c r="P277" s="488"/>
      <c r="Q277" s="488"/>
      <c r="R277" s="488"/>
      <c r="S277" s="488"/>
      <c r="T277" s="488"/>
      <c r="U277" s="488"/>
      <c r="V277" s="488"/>
      <c r="W277" s="488"/>
      <c r="X277" s="488"/>
      <c r="Y277" s="488"/>
      <c r="Z277" s="488"/>
      <c r="AA277" s="488"/>
      <c r="AB277" s="488"/>
      <c r="AC277" s="488"/>
      <c r="AD277" s="488"/>
      <c r="AE277" s="488"/>
      <c r="AF277" s="488"/>
      <c r="AG277" s="488"/>
      <c r="AH277" s="488"/>
      <c r="AI277" s="488"/>
      <c r="AJ277" s="488"/>
      <c r="AK277" s="490"/>
      <c r="AL277" s="490"/>
    </row>
    <row r="278" spans="1:38" s="491" customFormat="1" hidden="1" x14ac:dyDescent="0.25">
      <c r="A278" s="1049"/>
      <c r="B278" s="571" t="s">
        <v>463</v>
      </c>
      <c r="C278" s="521" t="s">
        <v>307</v>
      </c>
      <c r="D278" s="496" t="str">
        <f>IF(('Pl 2014-17 PFC'!D266)=0,"",'Pl 2014-17 PFC'!D266)</f>
        <v/>
      </c>
      <c r="E278" s="496">
        <f>IF(('Pl 2014-17 PFC'!E266)=0,"",'Pl 2014-17 PFC'!E266)</f>
        <v>100</v>
      </c>
      <c r="F278" s="496" t="str">
        <f>IF(('Pl 2014-17 PFC'!F266)=0,"",'Pl 2014-17 PFC'!F266)</f>
        <v/>
      </c>
      <c r="G278" s="496" t="str">
        <f>IF(('Pl 2014-17 PFC'!G266)=0,"",'Pl 2014-17 PFC'!G266)</f>
        <v/>
      </c>
      <c r="H278" s="496" t="str">
        <f>IF(('Pl 2014-17 PFC'!H266)=0,"",'Pl 2014-17 PFC'!H266)</f>
        <v/>
      </c>
      <c r="I278" s="496">
        <f>'Pl 2014-17 PFC'!J266</f>
        <v>0</v>
      </c>
      <c r="J278" s="496">
        <f>'Pl 2014-17 PFC'!K266</f>
        <v>100</v>
      </c>
      <c r="K278" s="574"/>
      <c r="L278" s="574"/>
      <c r="M278" s="574"/>
      <c r="N278" s="488"/>
      <c r="O278" s="488"/>
      <c r="P278" s="488"/>
      <c r="Q278" s="488"/>
      <c r="R278" s="488"/>
      <c r="S278" s="488"/>
      <c r="T278" s="488"/>
      <c r="U278" s="488"/>
      <c r="V278" s="488"/>
      <c r="W278" s="488"/>
      <c r="X278" s="488"/>
      <c r="Y278" s="488"/>
      <c r="Z278" s="488"/>
      <c r="AA278" s="488"/>
      <c r="AB278" s="488"/>
      <c r="AC278" s="488"/>
      <c r="AD278" s="488"/>
      <c r="AE278" s="488"/>
      <c r="AF278" s="488"/>
      <c r="AG278" s="488"/>
      <c r="AH278" s="488"/>
      <c r="AI278" s="488"/>
      <c r="AJ278" s="488"/>
      <c r="AK278" s="490"/>
      <c r="AL278" s="490"/>
    </row>
    <row r="279" spans="1:38" s="491" customFormat="1" ht="45" hidden="1" x14ac:dyDescent="0.25">
      <c r="A279" s="1049"/>
      <c r="B279" s="559" t="s">
        <v>466</v>
      </c>
      <c r="C279" s="521" t="s">
        <v>307</v>
      </c>
      <c r="D279" s="496">
        <f>IF(('Pl 2014-17 PFC'!D267)=0,"",'Pl 2014-17 PFC'!D267)</f>
        <v>1866</v>
      </c>
      <c r="E279" s="496">
        <f>IF(('Pl 2014-17 PFC'!E267)=0,"",'Pl 2014-17 PFC'!E267)</f>
        <v>2500</v>
      </c>
      <c r="F279" s="496">
        <f>IF(('Pl 2014-17 PFC'!F267)=0,"",'Pl 2014-17 PFC'!F267)</f>
        <v>5500</v>
      </c>
      <c r="G279" s="496">
        <f>IF(('Pl 2014-17 PFC'!G267)=0,"",'Pl 2014-17 PFC'!G267)</f>
        <v>5500</v>
      </c>
      <c r="H279" s="496">
        <f>IF(('Pl 2014-17 PFC'!H267)=0,"",'Pl 2014-17 PFC'!H267)</f>
        <v>5500</v>
      </c>
      <c r="I279" s="496">
        <f>'Pl 2014-17 PFC'!J267</f>
        <v>0</v>
      </c>
      <c r="J279" s="496">
        <f>'Pl 2014-17 PFC'!K267</f>
        <v>2500</v>
      </c>
      <c r="K279" s="574"/>
      <c r="L279" s="574"/>
      <c r="M279" s="574"/>
      <c r="N279" s="488"/>
      <c r="O279" s="488"/>
      <c r="P279" s="488"/>
      <c r="Q279" s="488"/>
      <c r="R279" s="488"/>
      <c r="S279" s="488"/>
      <c r="T279" s="488"/>
      <c r="U279" s="488"/>
      <c r="V279" s="488"/>
      <c r="W279" s="488"/>
      <c r="X279" s="488"/>
      <c r="Y279" s="488"/>
      <c r="Z279" s="488"/>
      <c r="AA279" s="488"/>
      <c r="AB279" s="488"/>
      <c r="AC279" s="488"/>
      <c r="AD279" s="488"/>
      <c r="AE279" s="488"/>
      <c r="AF279" s="488"/>
      <c r="AG279" s="488"/>
      <c r="AH279" s="488"/>
      <c r="AI279" s="488"/>
      <c r="AJ279" s="488"/>
      <c r="AK279" s="490"/>
      <c r="AL279" s="490"/>
    </row>
    <row r="280" spans="1:38" s="491" customFormat="1" hidden="1" x14ac:dyDescent="0.25">
      <c r="A280" s="1049"/>
      <c r="B280" s="544" t="s">
        <v>411</v>
      </c>
      <c r="C280" s="521" t="s">
        <v>307</v>
      </c>
      <c r="D280" s="496">
        <f>IF(('Pl 2014-17 PFC'!D268)=0,"0",'Pl 2014-17 PFC'!D268)</f>
        <v>900</v>
      </c>
      <c r="E280" s="496">
        <f>IF(('Pl 2014-17 PFC'!E268)=0,"0",'Pl 2014-17 PFC'!E268)</f>
        <v>1700</v>
      </c>
      <c r="F280" s="496">
        <f>IF(('Pl 2014-17 PFC'!F268)=0,"0",'Pl 2014-17 PFC'!F268)</f>
        <v>1700</v>
      </c>
      <c r="G280" s="496">
        <f>IF(('Pl 2014-17 PFC'!G268)=0,"0",'Pl 2014-17 PFC'!G268)</f>
        <v>1700</v>
      </c>
      <c r="H280" s="496">
        <f>IF(('Pl 2014-17 PFC'!H268)=0,"0",'Pl 2014-17 PFC'!H268)</f>
        <v>1700</v>
      </c>
      <c r="I280" s="496">
        <f>'Pl 2014-17 PFC'!J268</f>
        <v>0</v>
      </c>
      <c r="J280" s="496">
        <f>'Pl 2014-17 PFC'!K268</f>
        <v>1700</v>
      </c>
      <c r="K280" s="574"/>
      <c r="L280" s="574"/>
      <c r="M280" s="574"/>
      <c r="N280" s="488"/>
      <c r="O280" s="488"/>
      <c r="P280" s="488"/>
      <c r="Q280" s="488"/>
      <c r="R280" s="488"/>
      <c r="S280" s="488"/>
      <c r="T280" s="488"/>
      <c r="U280" s="488"/>
      <c r="V280" s="488"/>
      <c r="W280" s="488"/>
      <c r="X280" s="488"/>
      <c r="Y280" s="488"/>
      <c r="Z280" s="488"/>
      <c r="AA280" s="488"/>
      <c r="AB280" s="488"/>
      <c r="AC280" s="488"/>
      <c r="AD280" s="488"/>
      <c r="AE280" s="488"/>
      <c r="AF280" s="488"/>
      <c r="AG280" s="488"/>
      <c r="AH280" s="488"/>
      <c r="AI280" s="488"/>
      <c r="AJ280" s="488"/>
      <c r="AK280" s="490"/>
      <c r="AL280" s="490"/>
    </row>
    <row r="281" spans="1:38" s="491" customFormat="1" ht="30" hidden="1" x14ac:dyDescent="0.25">
      <c r="A281" s="1049"/>
      <c r="B281" s="575" t="s">
        <v>464</v>
      </c>
      <c r="C281" s="521" t="s">
        <v>307</v>
      </c>
      <c r="D281" s="496">
        <f>SUM(D282:D291)</f>
        <v>0</v>
      </c>
      <c r="E281" s="496">
        <f>SUM(E282:E291)</f>
        <v>0</v>
      </c>
      <c r="F281" s="496">
        <f>SUM(F282:F291)</f>
        <v>0</v>
      </c>
      <c r="G281" s="496">
        <f>SUM(G282:G291)</f>
        <v>0</v>
      </c>
      <c r="H281" s="496">
        <f>SUM(H282:H291)</f>
        <v>0</v>
      </c>
      <c r="I281" s="496">
        <f>'Pl 2014-17 PFC'!J269</f>
        <v>0</v>
      </c>
      <c r="J281" s="496">
        <f>'Pl 2014-17 PFC'!K269</f>
        <v>0</v>
      </c>
      <c r="K281" s="574"/>
      <c r="L281" s="574"/>
      <c r="M281" s="574"/>
      <c r="N281" s="488"/>
      <c r="O281" s="488"/>
      <c r="P281" s="488"/>
      <c r="Q281" s="488"/>
      <c r="R281" s="488"/>
      <c r="S281" s="488"/>
      <c r="T281" s="488"/>
      <c r="U281" s="488"/>
      <c r="V281" s="488"/>
      <c r="W281" s="488"/>
      <c r="X281" s="488"/>
      <c r="Y281" s="488"/>
      <c r="Z281" s="488"/>
      <c r="AA281" s="488"/>
      <c r="AB281" s="488"/>
      <c r="AC281" s="488"/>
      <c r="AD281" s="488"/>
      <c r="AE281" s="488"/>
      <c r="AF281" s="488"/>
      <c r="AG281" s="488"/>
      <c r="AH281" s="488"/>
      <c r="AI281" s="488"/>
      <c r="AJ281" s="488"/>
      <c r="AK281" s="490"/>
      <c r="AL281" s="490"/>
    </row>
    <row r="282" spans="1:38" s="491" customFormat="1" hidden="1" x14ac:dyDescent="0.25">
      <c r="A282" s="1049"/>
      <c r="B282" s="557" t="s">
        <v>166</v>
      </c>
      <c r="C282" s="521"/>
      <c r="D282" s="496" t="str">
        <f>IF(('Pl 2014-17 PFC'!D270)=0,"",'Pl 2014-17 PFC'!D270)</f>
        <v/>
      </c>
      <c r="E282" s="496" t="str">
        <f>IF(('Pl 2014-17 PFC'!E270)=0,"",'Pl 2014-17 PFC'!E270)</f>
        <v/>
      </c>
      <c r="F282" s="496" t="str">
        <f>IF(('Pl 2014-17 PFC'!F270)=0,"",'Pl 2014-17 PFC'!F270)</f>
        <v/>
      </c>
      <c r="G282" s="496" t="str">
        <f>IF(('Pl 2014-17 PFC'!G270)=0,"",'Pl 2014-17 PFC'!G270)</f>
        <v/>
      </c>
      <c r="H282" s="496" t="str">
        <f>IF(('Pl 2014-17 PFC'!H270)=0,"",'Pl 2014-17 PFC'!H270)</f>
        <v/>
      </c>
      <c r="I282" s="496">
        <f>'Pl 2014-17 PFC'!J270</f>
        <v>0</v>
      </c>
      <c r="J282" s="496">
        <f>'Pl 2014-17 PFC'!K270</f>
        <v>0</v>
      </c>
      <c r="K282" s="574"/>
      <c r="L282" s="574"/>
      <c r="M282" s="574"/>
      <c r="N282" s="488"/>
      <c r="O282" s="488"/>
      <c r="P282" s="488"/>
      <c r="Q282" s="488"/>
      <c r="R282" s="488"/>
      <c r="S282" s="488"/>
      <c r="T282" s="488"/>
      <c r="U282" s="488"/>
      <c r="V282" s="488"/>
      <c r="W282" s="488"/>
      <c r="X282" s="488"/>
      <c r="Y282" s="488"/>
      <c r="Z282" s="488"/>
      <c r="AA282" s="488"/>
      <c r="AB282" s="488"/>
      <c r="AC282" s="488"/>
      <c r="AD282" s="488"/>
      <c r="AE282" s="488"/>
      <c r="AF282" s="488"/>
      <c r="AG282" s="488"/>
      <c r="AH282" s="488"/>
      <c r="AI282" s="488"/>
      <c r="AJ282" s="488"/>
      <c r="AK282" s="490"/>
      <c r="AL282" s="490"/>
    </row>
    <row r="283" spans="1:38" s="491" customFormat="1" hidden="1" x14ac:dyDescent="0.25">
      <c r="A283" s="1049"/>
      <c r="B283" s="557" t="s">
        <v>303</v>
      </c>
      <c r="C283" s="521"/>
      <c r="D283" s="496" t="str">
        <f>IF(('Pl 2014-17 PFC'!D271)=0,"",'Pl 2014-17 PFC'!D271)</f>
        <v/>
      </c>
      <c r="E283" s="496" t="str">
        <f>IF(('Pl 2014-17 PFC'!E271)=0,"",'Pl 2014-17 PFC'!E271)</f>
        <v/>
      </c>
      <c r="F283" s="496" t="str">
        <f>IF(('Pl 2014-17 PFC'!F271)=0,"",'Pl 2014-17 PFC'!F271)</f>
        <v/>
      </c>
      <c r="G283" s="496" t="str">
        <f>IF(('Pl 2014-17 PFC'!G271)=0,"",'Pl 2014-17 PFC'!G271)</f>
        <v/>
      </c>
      <c r="H283" s="496" t="str">
        <f>IF(('Pl 2014-17 PFC'!H271)=0,"",'Pl 2014-17 PFC'!H271)</f>
        <v/>
      </c>
      <c r="I283" s="496">
        <f>'Pl 2014-17 PFC'!J271</f>
        <v>0</v>
      </c>
      <c r="J283" s="496">
        <f>'Pl 2014-17 PFC'!K271</f>
        <v>0</v>
      </c>
      <c r="K283" s="574"/>
      <c r="L283" s="574"/>
      <c r="M283" s="574"/>
      <c r="N283" s="488"/>
      <c r="O283" s="488"/>
      <c r="P283" s="488"/>
      <c r="Q283" s="488"/>
      <c r="R283" s="488"/>
      <c r="S283" s="488"/>
      <c r="T283" s="488"/>
      <c r="U283" s="488"/>
      <c r="V283" s="488"/>
      <c r="W283" s="488"/>
      <c r="X283" s="488"/>
      <c r="Y283" s="488"/>
      <c r="Z283" s="488"/>
      <c r="AA283" s="488"/>
      <c r="AB283" s="488"/>
      <c r="AC283" s="488"/>
      <c r="AD283" s="488"/>
      <c r="AE283" s="488"/>
      <c r="AF283" s="488"/>
      <c r="AG283" s="488"/>
      <c r="AH283" s="488"/>
      <c r="AI283" s="488"/>
      <c r="AJ283" s="488"/>
      <c r="AK283" s="490"/>
      <c r="AL283" s="490"/>
    </row>
    <row r="284" spans="1:38" s="491" customFormat="1" hidden="1" x14ac:dyDescent="0.25">
      <c r="A284" s="1049"/>
      <c r="B284" s="557" t="s">
        <v>168</v>
      </c>
      <c r="C284" s="521"/>
      <c r="D284" s="496" t="str">
        <f>IF(('Pl 2014-17 PFC'!D272)=0,"",'Pl 2014-17 PFC'!D272)</f>
        <v/>
      </c>
      <c r="E284" s="496" t="str">
        <f>IF(('Pl 2014-17 PFC'!E272)=0,"",'Pl 2014-17 PFC'!E272)</f>
        <v/>
      </c>
      <c r="F284" s="496" t="str">
        <f>IF(('Pl 2014-17 PFC'!F272)=0,"",'Pl 2014-17 PFC'!F272)</f>
        <v/>
      </c>
      <c r="G284" s="496" t="str">
        <f>IF(('Pl 2014-17 PFC'!G272)=0,"",'Pl 2014-17 PFC'!G272)</f>
        <v/>
      </c>
      <c r="H284" s="496" t="str">
        <f>IF(('Pl 2014-17 PFC'!H272)=0,"",'Pl 2014-17 PFC'!H272)</f>
        <v/>
      </c>
      <c r="I284" s="496">
        <f>'Pl 2014-17 PFC'!J272</f>
        <v>0</v>
      </c>
      <c r="J284" s="496">
        <f>'Pl 2014-17 PFC'!K272</f>
        <v>0</v>
      </c>
      <c r="K284" s="574"/>
      <c r="L284" s="574"/>
      <c r="M284" s="574"/>
      <c r="N284" s="488"/>
      <c r="O284" s="488"/>
      <c r="P284" s="488"/>
      <c r="Q284" s="488"/>
      <c r="R284" s="488"/>
      <c r="S284" s="488"/>
      <c r="T284" s="488"/>
      <c r="U284" s="488"/>
      <c r="V284" s="488"/>
      <c r="W284" s="488"/>
      <c r="X284" s="488"/>
      <c r="Y284" s="488"/>
      <c r="Z284" s="488"/>
      <c r="AA284" s="488"/>
      <c r="AB284" s="488"/>
      <c r="AC284" s="488"/>
      <c r="AD284" s="488"/>
      <c r="AE284" s="488"/>
      <c r="AF284" s="488"/>
      <c r="AG284" s="488"/>
      <c r="AH284" s="488"/>
      <c r="AI284" s="488"/>
      <c r="AJ284" s="488"/>
      <c r="AK284" s="490"/>
      <c r="AL284" s="490"/>
    </row>
    <row r="285" spans="1:38" s="491" customFormat="1" hidden="1" x14ac:dyDescent="0.25">
      <c r="A285" s="1049"/>
      <c r="B285" s="557" t="s">
        <v>170</v>
      </c>
      <c r="C285" s="521"/>
      <c r="D285" s="496" t="str">
        <f>IF(('Pl 2014-17 PFC'!D273)=0,"",'Pl 2014-17 PFC'!D273)</f>
        <v/>
      </c>
      <c r="E285" s="496" t="str">
        <f>IF(('Pl 2014-17 PFC'!E273)=0,"",'Pl 2014-17 PFC'!E273)</f>
        <v/>
      </c>
      <c r="F285" s="496" t="str">
        <f>IF(('Pl 2014-17 PFC'!F273)=0,"",'Pl 2014-17 PFC'!F273)</f>
        <v/>
      </c>
      <c r="G285" s="496" t="str">
        <f>IF(('Pl 2014-17 PFC'!G273)=0,"",'Pl 2014-17 PFC'!G273)</f>
        <v/>
      </c>
      <c r="H285" s="496" t="str">
        <f>IF(('Pl 2014-17 PFC'!H273)=0,"",'Pl 2014-17 PFC'!H273)</f>
        <v/>
      </c>
      <c r="I285" s="496">
        <f>'Pl 2014-17 PFC'!J273</f>
        <v>0</v>
      </c>
      <c r="J285" s="496">
        <f>'Pl 2014-17 PFC'!K273</f>
        <v>0</v>
      </c>
      <c r="K285" s="574"/>
      <c r="L285" s="574"/>
      <c r="M285" s="574"/>
      <c r="N285" s="488"/>
      <c r="O285" s="488"/>
      <c r="P285" s="488"/>
      <c r="Q285" s="488"/>
      <c r="R285" s="488"/>
      <c r="S285" s="488"/>
      <c r="T285" s="488"/>
      <c r="U285" s="488"/>
      <c r="V285" s="488"/>
      <c r="W285" s="488"/>
      <c r="X285" s="488"/>
      <c r="Y285" s="488"/>
      <c r="Z285" s="488"/>
      <c r="AA285" s="488"/>
      <c r="AB285" s="488"/>
      <c r="AC285" s="488"/>
      <c r="AD285" s="488"/>
      <c r="AE285" s="488"/>
      <c r="AF285" s="488"/>
      <c r="AG285" s="488"/>
      <c r="AH285" s="488"/>
      <c r="AI285" s="488"/>
      <c r="AJ285" s="488"/>
      <c r="AK285" s="490"/>
      <c r="AL285" s="490"/>
    </row>
    <row r="286" spans="1:38" s="491" customFormat="1" hidden="1" x14ac:dyDescent="0.25">
      <c r="A286" s="1049"/>
      <c r="B286" s="557" t="s">
        <v>169</v>
      </c>
      <c r="C286" s="521"/>
      <c r="D286" s="496" t="str">
        <f>IF(('Pl 2014-17 PFC'!D274)=0,"",'Pl 2014-17 PFC'!D274)</f>
        <v/>
      </c>
      <c r="E286" s="496" t="str">
        <f>IF(('Pl 2014-17 PFC'!E274)=0,"",'Pl 2014-17 PFC'!E274)</f>
        <v/>
      </c>
      <c r="F286" s="496" t="str">
        <f>IF(('Pl 2014-17 PFC'!F274)=0,"",'Pl 2014-17 PFC'!F274)</f>
        <v/>
      </c>
      <c r="G286" s="496" t="str">
        <f>IF(('Pl 2014-17 PFC'!G274)=0,"",'Pl 2014-17 PFC'!G274)</f>
        <v/>
      </c>
      <c r="H286" s="496" t="str">
        <f>IF(('Pl 2014-17 PFC'!H274)=0,"",'Pl 2014-17 PFC'!H274)</f>
        <v/>
      </c>
      <c r="I286" s="496">
        <f>'Pl 2014-17 PFC'!J274</f>
        <v>0</v>
      </c>
      <c r="J286" s="496">
        <f>'Pl 2014-17 PFC'!K274</f>
        <v>0</v>
      </c>
      <c r="K286" s="574"/>
      <c r="L286" s="574"/>
      <c r="M286" s="574"/>
      <c r="N286" s="488"/>
      <c r="O286" s="488"/>
      <c r="P286" s="488"/>
      <c r="Q286" s="488"/>
      <c r="R286" s="488"/>
      <c r="S286" s="488"/>
      <c r="T286" s="488"/>
      <c r="U286" s="488"/>
      <c r="V286" s="488"/>
      <c r="W286" s="488"/>
      <c r="X286" s="488"/>
      <c r="Y286" s="488"/>
      <c r="Z286" s="488"/>
      <c r="AA286" s="488"/>
      <c r="AB286" s="488"/>
      <c r="AC286" s="488"/>
      <c r="AD286" s="488"/>
      <c r="AE286" s="488"/>
      <c r="AF286" s="488"/>
      <c r="AG286" s="488"/>
      <c r="AH286" s="488"/>
      <c r="AI286" s="488"/>
      <c r="AJ286" s="488"/>
      <c r="AK286" s="490"/>
      <c r="AL286" s="490"/>
    </row>
    <row r="287" spans="1:38" s="491" customFormat="1" hidden="1" x14ac:dyDescent="0.25">
      <c r="A287" s="1049"/>
      <c r="B287" s="557" t="s">
        <v>195</v>
      </c>
      <c r="C287" s="521"/>
      <c r="D287" s="496" t="str">
        <f>IF(('Pl 2014-17 PFC'!D275)=0,"",'Pl 2014-17 PFC'!D275)</f>
        <v/>
      </c>
      <c r="E287" s="496" t="str">
        <f>IF(('Pl 2014-17 PFC'!E275)=0,"",'Pl 2014-17 PFC'!E275)</f>
        <v/>
      </c>
      <c r="F287" s="496" t="str">
        <f>IF(('Pl 2014-17 PFC'!F275)=0,"",'Pl 2014-17 PFC'!F275)</f>
        <v/>
      </c>
      <c r="G287" s="496" t="str">
        <f>IF(('Pl 2014-17 PFC'!G275)=0,"",'Pl 2014-17 PFC'!G275)</f>
        <v/>
      </c>
      <c r="H287" s="496" t="str">
        <f>IF(('Pl 2014-17 PFC'!H275)=0,"",'Pl 2014-17 PFC'!H275)</f>
        <v/>
      </c>
      <c r="I287" s="496">
        <f>'Pl 2014-17 PFC'!J275</f>
        <v>0</v>
      </c>
      <c r="J287" s="496">
        <f>'Pl 2014-17 PFC'!K275</f>
        <v>0</v>
      </c>
      <c r="K287" s="574"/>
      <c r="L287" s="574"/>
      <c r="M287" s="574"/>
      <c r="N287" s="488"/>
      <c r="O287" s="488"/>
      <c r="P287" s="488"/>
      <c r="Q287" s="488"/>
      <c r="R287" s="488"/>
      <c r="S287" s="488"/>
      <c r="T287" s="488"/>
      <c r="U287" s="488"/>
      <c r="V287" s="488"/>
      <c r="W287" s="488"/>
      <c r="X287" s="488"/>
      <c r="Y287" s="488"/>
      <c r="Z287" s="488"/>
      <c r="AA287" s="488"/>
      <c r="AB287" s="488"/>
      <c r="AC287" s="488"/>
      <c r="AD287" s="488"/>
      <c r="AE287" s="488"/>
      <c r="AF287" s="488"/>
      <c r="AG287" s="488"/>
      <c r="AH287" s="488"/>
      <c r="AI287" s="488"/>
      <c r="AJ287" s="488"/>
      <c r="AK287" s="490"/>
      <c r="AL287" s="490"/>
    </row>
    <row r="288" spans="1:38" s="491" customFormat="1" hidden="1" x14ac:dyDescent="0.25">
      <c r="A288" s="1049"/>
      <c r="B288" s="557" t="s">
        <v>174</v>
      </c>
      <c r="C288" s="521"/>
      <c r="D288" s="496" t="str">
        <f>IF(('Pl 2014-17 PFC'!D276)=0,"",'Pl 2014-17 PFC'!D276)</f>
        <v/>
      </c>
      <c r="E288" s="496" t="str">
        <f>IF(('Pl 2014-17 PFC'!E276)=0,"",'Pl 2014-17 PFC'!E276)</f>
        <v/>
      </c>
      <c r="F288" s="496" t="str">
        <f>IF(('Pl 2014-17 PFC'!F276)=0,"",'Pl 2014-17 PFC'!F276)</f>
        <v/>
      </c>
      <c r="G288" s="496" t="str">
        <f>IF(('Pl 2014-17 PFC'!G276)=0,"",'Pl 2014-17 PFC'!G276)</f>
        <v/>
      </c>
      <c r="H288" s="496" t="str">
        <f>IF(('Pl 2014-17 PFC'!H276)=0,"",'Pl 2014-17 PFC'!H276)</f>
        <v/>
      </c>
      <c r="I288" s="496">
        <f>'Pl 2014-17 PFC'!J276</f>
        <v>0</v>
      </c>
      <c r="J288" s="496">
        <f>'Pl 2014-17 PFC'!K276</f>
        <v>0</v>
      </c>
      <c r="K288" s="574"/>
      <c r="L288" s="574"/>
      <c r="M288" s="574"/>
      <c r="N288" s="488"/>
      <c r="O288" s="488"/>
      <c r="P288" s="488"/>
      <c r="Q288" s="488"/>
      <c r="R288" s="488"/>
      <c r="S288" s="488"/>
      <c r="T288" s="488"/>
      <c r="U288" s="488"/>
      <c r="V288" s="488"/>
      <c r="W288" s="488"/>
      <c r="X288" s="488"/>
      <c r="Y288" s="488"/>
      <c r="Z288" s="488"/>
      <c r="AA288" s="488"/>
      <c r="AB288" s="488"/>
      <c r="AC288" s="488"/>
      <c r="AD288" s="488"/>
      <c r="AE288" s="488"/>
      <c r="AF288" s="488"/>
      <c r="AG288" s="488"/>
      <c r="AH288" s="488"/>
      <c r="AI288" s="488"/>
      <c r="AJ288" s="488"/>
      <c r="AK288" s="490"/>
      <c r="AL288" s="490"/>
    </row>
    <row r="289" spans="1:38" s="491" customFormat="1" hidden="1" x14ac:dyDescent="0.25">
      <c r="A289" s="1049"/>
      <c r="B289" s="557" t="s">
        <v>467</v>
      </c>
      <c r="C289" s="521"/>
      <c r="D289" s="496" t="str">
        <f>IF(('Pl 2014-17 PFC'!D277)=0,"",'Pl 2014-17 PFC'!D277)</f>
        <v/>
      </c>
      <c r="E289" s="496" t="str">
        <f>IF(('Pl 2014-17 PFC'!E277)=0,"",'Pl 2014-17 PFC'!E277)</f>
        <v/>
      </c>
      <c r="F289" s="496" t="str">
        <f>IF(('Pl 2014-17 PFC'!F277)=0,"",'Pl 2014-17 PFC'!F277)</f>
        <v/>
      </c>
      <c r="G289" s="496" t="str">
        <f>IF(('Pl 2014-17 PFC'!G277)=0,"",'Pl 2014-17 PFC'!G277)</f>
        <v/>
      </c>
      <c r="H289" s="496" t="str">
        <f>IF(('Pl 2014-17 PFC'!H277)=0,"",'Pl 2014-17 PFC'!H277)</f>
        <v/>
      </c>
      <c r="I289" s="496">
        <f>'Pl 2014-17 PFC'!J277</f>
        <v>0</v>
      </c>
      <c r="J289" s="496">
        <f>'Pl 2014-17 PFC'!K277</f>
        <v>0</v>
      </c>
      <c r="K289" s="574"/>
      <c r="L289" s="574"/>
      <c r="M289" s="574"/>
      <c r="N289" s="488"/>
      <c r="O289" s="488"/>
      <c r="P289" s="488"/>
      <c r="Q289" s="488"/>
      <c r="R289" s="488"/>
      <c r="S289" s="488"/>
      <c r="T289" s="488"/>
      <c r="U289" s="488"/>
      <c r="V289" s="488"/>
      <c r="W289" s="488"/>
      <c r="X289" s="488"/>
      <c r="Y289" s="488"/>
      <c r="Z289" s="488"/>
      <c r="AA289" s="488"/>
      <c r="AB289" s="488"/>
      <c r="AC289" s="488"/>
      <c r="AD289" s="488"/>
      <c r="AE289" s="488"/>
      <c r="AF289" s="488"/>
      <c r="AG289" s="488"/>
      <c r="AH289" s="488"/>
      <c r="AI289" s="488"/>
      <c r="AJ289" s="488"/>
      <c r="AK289" s="490"/>
      <c r="AL289" s="490"/>
    </row>
    <row r="290" spans="1:38" s="491" customFormat="1" hidden="1" x14ac:dyDescent="0.25">
      <c r="A290" s="1049"/>
      <c r="B290" s="557" t="s">
        <v>178</v>
      </c>
      <c r="C290" s="521"/>
      <c r="D290" s="496" t="str">
        <f>IF(('Pl 2014-17 PFC'!D278)=0,"",'Pl 2014-17 PFC'!D278)</f>
        <v/>
      </c>
      <c r="E290" s="496" t="str">
        <f>IF(('Pl 2014-17 PFC'!E278)=0,"",'Pl 2014-17 PFC'!E278)</f>
        <v/>
      </c>
      <c r="F290" s="496" t="str">
        <f>IF(('Pl 2014-17 PFC'!F278)=0,"",'Pl 2014-17 PFC'!F278)</f>
        <v/>
      </c>
      <c r="G290" s="496" t="str">
        <f>IF(('Pl 2014-17 PFC'!G278)=0,"",'Pl 2014-17 PFC'!G278)</f>
        <v/>
      </c>
      <c r="H290" s="496" t="str">
        <f>IF(('Pl 2014-17 PFC'!H278)=0,"",'Pl 2014-17 PFC'!H278)</f>
        <v/>
      </c>
      <c r="I290" s="496">
        <f>'Pl 2014-17 PFC'!J278</f>
        <v>0</v>
      </c>
      <c r="J290" s="496">
        <f>'Pl 2014-17 PFC'!K278</f>
        <v>0</v>
      </c>
      <c r="K290" s="574"/>
      <c r="L290" s="574"/>
      <c r="M290" s="574"/>
      <c r="N290" s="488"/>
      <c r="O290" s="488"/>
      <c r="P290" s="488"/>
      <c r="Q290" s="488"/>
      <c r="R290" s="488"/>
      <c r="S290" s="488"/>
      <c r="T290" s="488"/>
      <c r="U290" s="488"/>
      <c r="V290" s="488"/>
      <c r="W290" s="488"/>
      <c r="X290" s="488"/>
      <c r="Y290" s="488"/>
      <c r="Z290" s="488"/>
      <c r="AA290" s="488"/>
      <c r="AB290" s="488"/>
      <c r="AC290" s="488"/>
      <c r="AD290" s="488"/>
      <c r="AE290" s="488"/>
      <c r="AF290" s="488"/>
      <c r="AG290" s="488"/>
      <c r="AH290" s="488"/>
      <c r="AI290" s="488"/>
      <c r="AJ290" s="488"/>
      <c r="AK290" s="490"/>
      <c r="AL290" s="490"/>
    </row>
    <row r="291" spans="1:38" s="491" customFormat="1" hidden="1" x14ac:dyDescent="0.25">
      <c r="A291" s="1049"/>
      <c r="B291" s="557" t="s">
        <v>198</v>
      </c>
      <c r="C291" s="521"/>
      <c r="D291" s="496" t="str">
        <f>IF(('Pl 2014-17 PFC'!D279)=0,"",'Pl 2014-17 PFC'!D279)</f>
        <v/>
      </c>
      <c r="E291" s="496" t="str">
        <f>IF(('Pl 2014-17 PFC'!E279)=0,"",'Pl 2014-17 PFC'!E279)</f>
        <v/>
      </c>
      <c r="F291" s="496" t="str">
        <f>IF(('Pl 2014-17 PFC'!F279)=0,"",'Pl 2014-17 PFC'!F279)</f>
        <v/>
      </c>
      <c r="G291" s="496" t="str">
        <f>IF(('Pl 2014-17 PFC'!G279)=0,"",'Pl 2014-17 PFC'!G279)</f>
        <v/>
      </c>
      <c r="H291" s="496" t="str">
        <f>IF(('Pl 2014-17 PFC'!H279)=0,"",'Pl 2014-17 PFC'!H279)</f>
        <v/>
      </c>
      <c r="I291" s="496">
        <f>'Pl 2014-17 PFC'!J279</f>
        <v>0</v>
      </c>
      <c r="J291" s="496">
        <f>'Pl 2014-17 PFC'!K279</f>
        <v>0</v>
      </c>
      <c r="K291" s="574"/>
      <c r="L291" s="574"/>
      <c r="M291" s="574"/>
      <c r="N291" s="488"/>
      <c r="O291" s="488"/>
      <c r="P291" s="488"/>
      <c r="Q291" s="488"/>
      <c r="R291" s="488"/>
      <c r="S291" s="488"/>
      <c r="T291" s="488"/>
      <c r="U291" s="488"/>
      <c r="V291" s="488"/>
      <c r="W291" s="488"/>
      <c r="X291" s="488"/>
      <c r="Y291" s="488"/>
      <c r="Z291" s="488"/>
      <c r="AA291" s="488"/>
      <c r="AB291" s="488"/>
      <c r="AC291" s="488"/>
      <c r="AD291" s="488"/>
      <c r="AE291" s="488"/>
      <c r="AF291" s="488"/>
      <c r="AG291" s="488"/>
      <c r="AH291" s="488"/>
      <c r="AI291" s="488"/>
      <c r="AJ291" s="488"/>
      <c r="AK291" s="490"/>
      <c r="AL291" s="490"/>
    </row>
    <row r="292" spans="1:38" s="491" customFormat="1" hidden="1" x14ac:dyDescent="0.25">
      <c r="A292" s="1049"/>
      <c r="B292" s="557"/>
      <c r="C292" s="521"/>
      <c r="D292" s="496"/>
      <c r="E292" s="496"/>
      <c r="F292" s="496"/>
      <c r="G292" s="496"/>
      <c r="H292" s="496"/>
      <c r="I292" s="496">
        <f>'Pl 2014-17 PFC'!J280</f>
        <v>0</v>
      </c>
      <c r="J292" s="496">
        <f>'Pl 2014-17 PFC'!K280</f>
        <v>0</v>
      </c>
      <c r="K292" s="574"/>
      <c r="L292" s="574"/>
      <c r="M292" s="574"/>
      <c r="N292" s="488"/>
      <c r="O292" s="488"/>
      <c r="P292" s="488"/>
      <c r="Q292" s="488"/>
      <c r="R292" s="488"/>
      <c r="S292" s="488"/>
      <c r="T292" s="488"/>
      <c r="U292" s="488"/>
      <c r="V292" s="488"/>
      <c r="W292" s="488"/>
      <c r="X292" s="488"/>
      <c r="Y292" s="488"/>
      <c r="Z292" s="488"/>
      <c r="AA292" s="488"/>
      <c r="AB292" s="488"/>
      <c r="AC292" s="488"/>
      <c r="AD292" s="488"/>
      <c r="AE292" s="488"/>
      <c r="AF292" s="488"/>
      <c r="AG292" s="488"/>
      <c r="AH292" s="488"/>
      <c r="AI292" s="488"/>
      <c r="AJ292" s="488"/>
      <c r="AK292" s="490"/>
      <c r="AL292" s="490"/>
    </row>
    <row r="293" spans="1:38" x14ac:dyDescent="0.25">
      <c r="A293" s="1049" t="s">
        <v>675</v>
      </c>
      <c r="B293" s="554" t="s">
        <v>311</v>
      </c>
      <c r="C293" s="521" t="s">
        <v>121</v>
      </c>
      <c r="D293" s="496">
        <f>SUM(D295,D297,D299,D301)</f>
        <v>787474</v>
      </c>
      <c r="E293" s="496">
        <f>SUM(E295,E297,E299,E301)</f>
        <v>880400</v>
      </c>
      <c r="F293" s="496">
        <f>SUM(F295,F297,F299,F301)</f>
        <v>1020400</v>
      </c>
      <c r="G293" s="496">
        <f>SUM(G295,G297,G299,G301)</f>
        <v>1100400</v>
      </c>
      <c r="H293" s="496">
        <f>SUM(H295,H297,H299,H301)</f>
        <v>1200400</v>
      </c>
      <c r="I293" s="496">
        <f>'Pl 2014-17 PFC'!J281</f>
        <v>0</v>
      </c>
      <c r="J293" s="496">
        <f>'Pl 2014-17 PFC'!K281</f>
        <v>880400</v>
      </c>
      <c r="K293" s="576"/>
      <c r="L293" s="576"/>
      <c r="M293" s="576"/>
    </row>
    <row r="294" spans="1:38" x14ac:dyDescent="0.25">
      <c r="A294" s="1049"/>
      <c r="B294" s="539" t="s">
        <v>312</v>
      </c>
      <c r="C294" s="577"/>
      <c r="D294" s="496"/>
      <c r="E294" s="496"/>
      <c r="F294" s="496"/>
      <c r="G294" s="496"/>
      <c r="H294" s="496"/>
      <c r="I294" s="496"/>
      <c r="J294" s="496"/>
      <c r="K294" s="576"/>
      <c r="L294" s="576"/>
      <c r="M294" s="576"/>
    </row>
    <row r="295" spans="1:38" s="491" customFormat="1" x14ac:dyDescent="0.25">
      <c r="A295" s="1049" t="s">
        <v>469</v>
      </c>
      <c r="B295" s="554" t="s">
        <v>470</v>
      </c>
      <c r="C295" s="521"/>
      <c r="D295" s="496">
        <f>'Pl 2014-17 PFC'!D283</f>
        <v>119600</v>
      </c>
      <c r="E295" s="496">
        <f>'Pl 2014-17 PFC'!E283</f>
        <v>146341</v>
      </c>
      <c r="F295" s="496">
        <f>'Pl 2014-17 PFC'!F283</f>
        <v>146341</v>
      </c>
      <c r="G295" s="496">
        <f>'Pl 2014-17 PFC'!G283</f>
        <v>146341</v>
      </c>
      <c r="H295" s="496">
        <f>'Pl 2014-17 PFC'!H283</f>
        <v>146341</v>
      </c>
      <c r="I295" s="496">
        <f>'Pl 2014-17 PFC'!J283</f>
        <v>0</v>
      </c>
      <c r="J295" s="496">
        <f>'Pl 2014-17 PFC'!K283</f>
        <v>146341</v>
      </c>
      <c r="K295" s="578">
        <f>(G295+G297)*1000</f>
        <v>150000000</v>
      </c>
      <c r="L295" s="578">
        <f>H295+H297</f>
        <v>150000</v>
      </c>
      <c r="M295" s="574"/>
      <c r="N295" s="488"/>
      <c r="O295" s="488"/>
      <c r="P295" s="488"/>
      <c r="Q295" s="488"/>
      <c r="R295" s="488"/>
      <c r="S295" s="488"/>
      <c r="T295" s="488"/>
      <c r="U295" s="488"/>
      <c r="V295" s="488"/>
      <c r="W295" s="488"/>
      <c r="X295" s="488"/>
      <c r="Y295" s="488"/>
      <c r="Z295" s="488"/>
      <c r="AA295" s="488"/>
      <c r="AB295" s="488"/>
      <c r="AC295" s="488"/>
      <c r="AD295" s="488"/>
      <c r="AE295" s="488"/>
      <c r="AF295" s="488"/>
      <c r="AG295" s="488"/>
      <c r="AH295" s="488"/>
      <c r="AI295" s="488"/>
      <c r="AJ295" s="488"/>
      <c r="AK295" s="490"/>
      <c r="AL295" s="490"/>
    </row>
    <row r="296" spans="1:38" s="491" customFormat="1" hidden="1" x14ac:dyDescent="0.25">
      <c r="A296" s="1049"/>
      <c r="B296" s="554"/>
      <c r="C296" s="521"/>
      <c r="D296" s="496"/>
      <c r="E296" s="496"/>
      <c r="F296" s="496"/>
      <c r="G296" s="496"/>
      <c r="H296" s="496"/>
      <c r="I296" s="496">
        <f>'Pl 2014-17 PFC'!J284</f>
        <v>0</v>
      </c>
      <c r="J296" s="496">
        <f>'Pl 2014-17 PFC'!K284</f>
        <v>0</v>
      </c>
      <c r="K296" s="574"/>
      <c r="L296" s="574"/>
      <c r="M296" s="574"/>
      <c r="N296" s="488"/>
      <c r="O296" s="488"/>
      <c r="P296" s="488"/>
      <c r="Q296" s="488"/>
      <c r="R296" s="488"/>
      <c r="S296" s="488"/>
      <c r="T296" s="488"/>
      <c r="U296" s="488"/>
      <c r="V296" s="488"/>
      <c r="W296" s="488"/>
      <c r="X296" s="488"/>
      <c r="Y296" s="488"/>
      <c r="Z296" s="488"/>
      <c r="AA296" s="488"/>
      <c r="AB296" s="488"/>
      <c r="AC296" s="488"/>
      <c r="AD296" s="488"/>
      <c r="AE296" s="488"/>
      <c r="AF296" s="488"/>
      <c r="AG296" s="488"/>
      <c r="AH296" s="488"/>
      <c r="AI296" s="488"/>
      <c r="AJ296" s="488"/>
      <c r="AK296" s="490"/>
      <c r="AL296" s="490"/>
    </row>
    <row r="297" spans="1:38" s="491" customFormat="1" x14ac:dyDescent="0.25">
      <c r="A297" s="1049" t="s">
        <v>471</v>
      </c>
      <c r="B297" s="554" t="s">
        <v>472</v>
      </c>
      <c r="C297" s="521"/>
      <c r="D297" s="496">
        <f>'Pl 2014-17 PFC'!D285</f>
        <v>2990</v>
      </c>
      <c r="E297" s="496">
        <f>'Pl 2014-17 PFC'!E285</f>
        <v>3659</v>
      </c>
      <c r="F297" s="496">
        <f>'Pl 2014-17 PFC'!F285</f>
        <v>3659</v>
      </c>
      <c r="G297" s="496">
        <f>'Pl 2014-17 PFC'!G285</f>
        <v>3659</v>
      </c>
      <c r="H297" s="496">
        <f>'Pl 2014-17 PFC'!H285</f>
        <v>3659</v>
      </c>
      <c r="I297" s="496">
        <f>'Pl 2014-17 PFC'!J285</f>
        <v>0</v>
      </c>
      <c r="J297" s="496">
        <f>'Pl 2014-17 PFC'!K285</f>
        <v>3659</v>
      </c>
      <c r="K297" s="578">
        <f>(G299+G301)*1000</f>
        <v>950400000</v>
      </c>
      <c r="L297" s="578">
        <f>H299+H301</f>
        <v>1050400</v>
      </c>
      <c r="M297" s="574"/>
      <c r="N297" s="488"/>
      <c r="O297" s="488"/>
      <c r="P297" s="488"/>
      <c r="Q297" s="488"/>
      <c r="R297" s="488"/>
      <c r="S297" s="488"/>
      <c r="T297" s="488"/>
      <c r="U297" s="488"/>
      <c r="V297" s="488"/>
      <c r="W297" s="488"/>
      <c r="X297" s="488"/>
      <c r="Y297" s="488"/>
      <c r="Z297" s="488"/>
      <c r="AA297" s="488"/>
      <c r="AB297" s="488"/>
      <c r="AC297" s="488"/>
      <c r="AD297" s="488"/>
      <c r="AE297" s="488"/>
      <c r="AF297" s="488"/>
      <c r="AG297" s="488"/>
      <c r="AH297" s="488"/>
      <c r="AI297" s="488"/>
      <c r="AJ297" s="488"/>
      <c r="AK297" s="490"/>
      <c r="AL297" s="490"/>
    </row>
    <row r="298" spans="1:38" s="491" customFormat="1" hidden="1" x14ac:dyDescent="0.25">
      <c r="A298" s="1049"/>
      <c r="B298" s="554"/>
      <c r="C298" s="521"/>
      <c r="D298" s="496"/>
      <c r="E298" s="496"/>
      <c r="F298" s="496"/>
      <c r="G298" s="496"/>
      <c r="H298" s="496"/>
      <c r="I298" s="496">
        <f>'Pl 2014-17 PFC'!J286</f>
        <v>0</v>
      </c>
      <c r="J298" s="496">
        <f>'Pl 2014-17 PFC'!K286</f>
        <v>0</v>
      </c>
      <c r="K298" s="574"/>
      <c r="L298" s="574"/>
      <c r="M298" s="574"/>
      <c r="N298" s="488"/>
      <c r="O298" s="488"/>
      <c r="P298" s="488"/>
      <c r="Q298" s="488"/>
      <c r="R298" s="488"/>
      <c r="S298" s="488"/>
      <c r="T298" s="488"/>
      <c r="U298" s="488"/>
      <c r="V298" s="488"/>
      <c r="W298" s="488"/>
      <c r="X298" s="488"/>
      <c r="Y298" s="488"/>
      <c r="Z298" s="488"/>
      <c r="AA298" s="488"/>
      <c r="AB298" s="488"/>
      <c r="AC298" s="488"/>
      <c r="AD298" s="488"/>
      <c r="AE298" s="488"/>
      <c r="AF298" s="488"/>
      <c r="AG298" s="488"/>
      <c r="AH298" s="488"/>
      <c r="AI298" s="488"/>
      <c r="AJ298" s="488"/>
      <c r="AK298" s="490"/>
      <c r="AL298" s="490"/>
    </row>
    <row r="299" spans="1:38" s="491" customFormat="1" x14ac:dyDescent="0.25">
      <c r="A299" s="1049" t="s">
        <v>473</v>
      </c>
      <c r="B299" s="554" t="s">
        <v>474</v>
      </c>
      <c r="C299" s="521"/>
      <c r="D299" s="496">
        <f>'Pl 2014-17 PFC'!D287</f>
        <v>648667</v>
      </c>
      <c r="E299" s="496">
        <f>'Pl 2014-17 PFC'!E287</f>
        <v>712586</v>
      </c>
      <c r="F299" s="496">
        <f>'Pl 2014-17 PFC'!F287</f>
        <v>849170</v>
      </c>
      <c r="G299" s="496">
        <f>'Pl 2014-17 PFC'!G287</f>
        <v>927220</v>
      </c>
      <c r="H299" s="496">
        <f>'Pl 2014-17 PFC'!H287</f>
        <v>1024780</v>
      </c>
      <c r="I299" s="496">
        <f>'Pl 2014-17 PFC'!J287</f>
        <v>0</v>
      </c>
      <c r="J299" s="496">
        <f>'Pl 2014-17 PFC'!K287</f>
        <v>712586</v>
      </c>
      <c r="K299" s="574"/>
      <c r="L299" s="574"/>
      <c r="M299" s="574"/>
      <c r="N299" s="488"/>
      <c r="O299" s="488"/>
      <c r="P299" s="488"/>
      <c r="Q299" s="488"/>
      <c r="R299" s="488"/>
      <c r="S299" s="488"/>
      <c r="T299" s="488"/>
      <c r="U299" s="488"/>
      <c r="V299" s="488"/>
      <c r="W299" s="488"/>
      <c r="X299" s="488"/>
      <c r="Y299" s="488"/>
      <c r="Z299" s="488"/>
      <c r="AA299" s="488"/>
      <c r="AB299" s="488"/>
      <c r="AC299" s="488"/>
      <c r="AD299" s="488"/>
      <c r="AE299" s="488"/>
      <c r="AF299" s="488"/>
      <c r="AG299" s="488"/>
      <c r="AH299" s="488"/>
      <c r="AI299" s="488"/>
      <c r="AJ299" s="488"/>
      <c r="AK299" s="490"/>
      <c r="AL299" s="490"/>
    </row>
    <row r="300" spans="1:38" hidden="1" x14ac:dyDescent="0.25">
      <c r="A300" s="1049"/>
      <c r="B300" s="554"/>
      <c r="C300" s="521"/>
      <c r="D300" s="496"/>
      <c r="E300" s="496"/>
      <c r="F300" s="496"/>
      <c r="G300" s="496"/>
      <c r="H300" s="496"/>
      <c r="I300" s="496">
        <f>'Pl 2014-17 PFC'!J288</f>
        <v>0</v>
      </c>
      <c r="J300" s="496">
        <f>'Pl 2014-17 PFC'!K288</f>
        <v>0</v>
      </c>
      <c r="K300" s="576"/>
      <c r="L300" s="576"/>
      <c r="M300" s="576"/>
    </row>
    <row r="301" spans="1:38" s="491" customFormat="1" x14ac:dyDescent="0.25">
      <c r="A301" s="1049" t="s">
        <v>475</v>
      </c>
      <c r="B301" s="554" t="s">
        <v>476</v>
      </c>
      <c r="C301" s="521"/>
      <c r="D301" s="496">
        <f>'Pl 2014-17 PFC'!D289</f>
        <v>16217</v>
      </c>
      <c r="E301" s="496">
        <f>'Pl 2014-17 PFC'!E289</f>
        <v>17814</v>
      </c>
      <c r="F301" s="496">
        <f>'Pl 2014-17 PFC'!F289</f>
        <v>21230</v>
      </c>
      <c r="G301" s="496">
        <f>'Pl 2014-17 PFC'!G289</f>
        <v>23180</v>
      </c>
      <c r="H301" s="496">
        <f>'Pl 2014-17 PFC'!H289</f>
        <v>25620</v>
      </c>
      <c r="I301" s="496">
        <f>'Pl 2014-17 PFC'!J289</f>
        <v>0</v>
      </c>
      <c r="J301" s="496">
        <f>'Pl 2014-17 PFC'!K289</f>
        <v>17814</v>
      </c>
      <c r="K301" s="574">
        <f>K297*0.001</f>
        <v>950400</v>
      </c>
      <c r="L301" s="574">
        <f>L297*0.001</f>
        <v>1050.4000000000001</v>
      </c>
      <c r="M301" s="574"/>
      <c r="N301" s="488"/>
      <c r="O301" s="488"/>
      <c r="P301" s="488"/>
      <c r="Q301" s="488"/>
      <c r="R301" s="488"/>
      <c r="S301" s="488"/>
      <c r="T301" s="488"/>
      <c r="U301" s="488"/>
      <c r="V301" s="488"/>
      <c r="W301" s="488"/>
      <c r="X301" s="488"/>
      <c r="Y301" s="488"/>
      <c r="Z301" s="488"/>
      <c r="AA301" s="488"/>
      <c r="AB301" s="488"/>
      <c r="AC301" s="488"/>
      <c r="AD301" s="488"/>
      <c r="AE301" s="488"/>
      <c r="AF301" s="488"/>
      <c r="AG301" s="488"/>
      <c r="AH301" s="488"/>
      <c r="AI301" s="488"/>
      <c r="AJ301" s="488"/>
      <c r="AK301" s="490"/>
      <c r="AL301" s="490"/>
    </row>
    <row r="302" spans="1:38" s="491" customFormat="1" hidden="1" x14ac:dyDescent="0.25">
      <c r="A302" s="1049"/>
      <c r="B302" s="554"/>
      <c r="C302" s="521"/>
      <c r="D302" s="496"/>
      <c r="E302" s="496"/>
      <c r="F302" s="496"/>
      <c r="G302" s="496"/>
      <c r="H302" s="496"/>
      <c r="I302" s="496">
        <f>'Pl 2014-17 PFC'!J290</f>
        <v>0</v>
      </c>
      <c r="J302" s="496">
        <f>'Pl 2014-17 PFC'!K290</f>
        <v>0</v>
      </c>
      <c r="K302" s="488"/>
      <c r="L302" s="488"/>
      <c r="M302" s="488"/>
      <c r="N302" s="488"/>
      <c r="O302" s="488"/>
      <c r="P302" s="488"/>
      <c r="Q302" s="488"/>
      <c r="R302" s="488"/>
      <c r="S302" s="488"/>
      <c r="T302" s="488"/>
      <c r="U302" s="488"/>
      <c r="V302" s="488"/>
      <c r="W302" s="488"/>
      <c r="X302" s="488"/>
      <c r="Y302" s="488"/>
      <c r="Z302" s="488"/>
      <c r="AA302" s="488"/>
      <c r="AB302" s="488"/>
      <c r="AC302" s="488"/>
      <c r="AD302" s="488"/>
      <c r="AE302" s="488"/>
      <c r="AF302" s="488"/>
      <c r="AG302" s="488"/>
      <c r="AH302" s="488"/>
      <c r="AI302" s="488"/>
      <c r="AJ302" s="488"/>
      <c r="AK302" s="490"/>
      <c r="AL302" s="490"/>
    </row>
    <row r="303" spans="1:38" s="491" customFormat="1" x14ac:dyDescent="0.25">
      <c r="A303" s="1049" t="s">
        <v>676</v>
      </c>
      <c r="B303" s="554" t="s">
        <v>79</v>
      </c>
      <c r="C303" s="577" t="s">
        <v>87</v>
      </c>
      <c r="D303" s="496">
        <f>SUM(D305:D306)</f>
        <v>1964</v>
      </c>
      <c r="E303" s="496">
        <f>SUM(E305:E306)</f>
        <v>3283</v>
      </c>
      <c r="F303" s="496">
        <f>SUM(F305:F306)</f>
        <v>1869</v>
      </c>
      <c r="G303" s="496">
        <f>SUM(G305:G306)</f>
        <v>350</v>
      </c>
      <c r="H303" s="496">
        <f>SUM(H305:H306)</f>
        <v>350</v>
      </c>
      <c r="I303" s="496">
        <f>'Pl 2014-17 PFC'!J291</f>
        <v>0</v>
      </c>
      <c r="J303" s="496">
        <f>'Pl 2014-17 PFC'!K291</f>
        <v>3283</v>
      </c>
      <c r="K303" s="488"/>
      <c r="L303" s="488"/>
      <c r="M303" s="488"/>
      <c r="N303" s="488"/>
      <c r="O303" s="488"/>
      <c r="P303" s="488"/>
      <c r="Q303" s="488"/>
      <c r="R303" s="488"/>
      <c r="S303" s="488"/>
      <c r="T303" s="488"/>
      <c r="U303" s="488"/>
      <c r="V303" s="488"/>
      <c r="W303" s="488"/>
      <c r="X303" s="488"/>
      <c r="Y303" s="488"/>
      <c r="Z303" s="488"/>
      <c r="AA303" s="488"/>
      <c r="AB303" s="488"/>
      <c r="AC303" s="488"/>
      <c r="AD303" s="488"/>
      <c r="AE303" s="488"/>
      <c r="AF303" s="488"/>
      <c r="AG303" s="488"/>
      <c r="AH303" s="488"/>
      <c r="AI303" s="488"/>
      <c r="AJ303" s="488"/>
      <c r="AK303" s="490"/>
      <c r="AL303" s="490"/>
    </row>
    <row r="304" spans="1:38" s="491" customFormat="1" hidden="1" x14ac:dyDescent="0.25">
      <c r="A304" s="486"/>
      <c r="B304" s="539" t="s">
        <v>318</v>
      </c>
      <c r="C304" s="577"/>
      <c r="D304" s="579"/>
      <c r="E304" s="580"/>
      <c r="F304" s="580"/>
      <c r="G304" s="580"/>
      <c r="H304" s="580"/>
      <c r="I304" s="496">
        <f>'Pl 2014-17 PFC'!J292</f>
        <v>0</v>
      </c>
      <c r="J304" s="496">
        <f>'Pl 2014-17 PFC'!K292</f>
        <v>0</v>
      </c>
      <c r="K304" s="488"/>
      <c r="L304" s="488"/>
      <c r="M304" s="488"/>
      <c r="N304" s="488"/>
      <c r="O304" s="488"/>
      <c r="P304" s="488"/>
      <c r="Q304" s="488"/>
      <c r="R304" s="488"/>
      <c r="S304" s="488"/>
      <c r="T304" s="488"/>
      <c r="U304" s="488"/>
      <c r="V304" s="488"/>
      <c r="W304" s="488"/>
      <c r="X304" s="488"/>
      <c r="Y304" s="488"/>
      <c r="Z304" s="488"/>
      <c r="AA304" s="488"/>
      <c r="AB304" s="488"/>
      <c r="AC304" s="488"/>
      <c r="AD304" s="488"/>
      <c r="AE304" s="488"/>
      <c r="AF304" s="488"/>
      <c r="AG304" s="488"/>
      <c r="AH304" s="488"/>
      <c r="AI304" s="488"/>
      <c r="AJ304" s="488"/>
      <c r="AK304" s="490"/>
      <c r="AL304" s="490"/>
    </row>
    <row r="305" spans="1:38" s="491" customFormat="1" hidden="1" x14ac:dyDescent="0.25">
      <c r="A305" s="486"/>
      <c r="B305" s="539" t="s">
        <v>319</v>
      </c>
      <c r="C305" s="521" t="s">
        <v>141</v>
      </c>
      <c r="D305" s="579">
        <f>'Pl 2014-17 PFC'!D293</f>
        <v>534</v>
      </c>
      <c r="E305" s="580">
        <f>'Pl 2014-17 PFC'!E293</f>
        <v>350</v>
      </c>
      <c r="F305" s="580">
        <f>'Pl 2014-17 PFC'!F293</f>
        <v>350</v>
      </c>
      <c r="G305" s="580">
        <f>'Pl 2014-17 PFC'!G293</f>
        <v>350</v>
      </c>
      <c r="H305" s="580">
        <f>'Pl 2014-17 PFC'!H293</f>
        <v>350</v>
      </c>
      <c r="I305" s="496">
        <f>'Pl 2014-17 PFC'!J293</f>
        <v>0</v>
      </c>
      <c r="J305" s="496">
        <f>'Pl 2014-17 PFC'!K293</f>
        <v>350</v>
      </c>
      <c r="K305" s="488"/>
      <c r="L305" s="488"/>
      <c r="M305" s="488"/>
      <c r="N305" s="488"/>
      <c r="O305" s="488"/>
      <c r="P305" s="488"/>
      <c r="Q305" s="488"/>
      <c r="R305" s="488"/>
      <c r="S305" s="488"/>
      <c r="T305" s="488"/>
      <c r="U305" s="488"/>
      <c r="V305" s="488"/>
      <c r="W305" s="488"/>
      <c r="X305" s="488"/>
      <c r="Y305" s="488"/>
      <c r="Z305" s="488"/>
      <c r="AA305" s="488"/>
      <c r="AB305" s="488"/>
      <c r="AC305" s="488"/>
      <c r="AD305" s="488"/>
      <c r="AE305" s="488"/>
      <c r="AF305" s="488"/>
      <c r="AG305" s="488"/>
      <c r="AH305" s="488"/>
      <c r="AI305" s="488"/>
      <c r="AJ305" s="488"/>
      <c r="AK305" s="490"/>
      <c r="AL305" s="490"/>
    </row>
    <row r="306" spans="1:38" s="491" customFormat="1" hidden="1" x14ac:dyDescent="0.25">
      <c r="A306" s="486"/>
      <c r="B306" s="539" t="s">
        <v>321</v>
      </c>
      <c r="C306" s="521" t="s">
        <v>322</v>
      </c>
      <c r="D306" s="579">
        <f>'Pl 2014-17 PFC'!D294</f>
        <v>1430</v>
      </c>
      <c r="E306" s="580">
        <f>'Pl 2014-17 PFC'!E294</f>
        <v>2933</v>
      </c>
      <c r="F306" s="580">
        <f>'Pl 2014-17 PFC'!F294</f>
        <v>1519</v>
      </c>
      <c r="G306" s="580">
        <f>'Pl 2014-17 PFC'!G294</f>
        <v>0</v>
      </c>
      <c r="H306" s="580">
        <f>'Pl 2014-17 PFC'!H294</f>
        <v>0</v>
      </c>
      <c r="I306" s="496">
        <f>'Pl 2014-17 PFC'!J294</f>
        <v>0</v>
      </c>
      <c r="J306" s="496">
        <f>'Pl 2014-17 PFC'!K294</f>
        <v>2933</v>
      </c>
      <c r="K306" s="488"/>
      <c r="L306" s="488"/>
      <c r="M306" s="488"/>
      <c r="N306" s="488"/>
      <c r="O306" s="488"/>
      <c r="P306" s="488"/>
      <c r="Q306" s="488"/>
      <c r="R306" s="488"/>
      <c r="S306" s="488"/>
      <c r="T306" s="488"/>
      <c r="U306" s="488"/>
      <c r="V306" s="488"/>
      <c r="W306" s="488"/>
      <c r="X306" s="488"/>
      <c r="Y306" s="488"/>
      <c r="Z306" s="488"/>
      <c r="AA306" s="488"/>
      <c r="AB306" s="488"/>
      <c r="AC306" s="488"/>
      <c r="AD306" s="488"/>
      <c r="AE306" s="488"/>
      <c r="AF306" s="488"/>
      <c r="AG306" s="488"/>
      <c r="AH306" s="488"/>
      <c r="AI306" s="488"/>
      <c r="AJ306" s="488"/>
      <c r="AK306" s="490"/>
      <c r="AL306" s="490"/>
    </row>
    <row r="307" spans="1:38" s="491" customFormat="1" x14ac:dyDescent="0.25">
      <c r="A307" s="486"/>
      <c r="B307" s="555"/>
      <c r="C307" s="577"/>
      <c r="D307" s="487"/>
      <c r="E307" s="487"/>
      <c r="F307" s="487"/>
      <c r="G307" s="487"/>
      <c r="H307" s="487"/>
      <c r="I307" s="487"/>
      <c r="J307" s="487"/>
      <c r="K307" s="488"/>
      <c r="L307" s="488"/>
      <c r="M307" s="488"/>
      <c r="N307" s="488"/>
      <c r="O307" s="488"/>
      <c r="P307" s="488"/>
      <c r="Q307" s="488"/>
      <c r="R307" s="488"/>
      <c r="S307" s="488"/>
      <c r="T307" s="488"/>
      <c r="U307" s="488"/>
      <c r="V307" s="488"/>
      <c r="W307" s="488"/>
      <c r="X307" s="488"/>
      <c r="Y307" s="488"/>
      <c r="Z307" s="488"/>
      <c r="AA307" s="488"/>
      <c r="AB307" s="488"/>
      <c r="AC307" s="488"/>
      <c r="AD307" s="488"/>
      <c r="AE307" s="488"/>
      <c r="AF307" s="488"/>
      <c r="AG307" s="488"/>
      <c r="AH307" s="488"/>
      <c r="AI307" s="488"/>
      <c r="AJ307" s="488"/>
      <c r="AK307" s="490"/>
      <c r="AL307" s="490"/>
    </row>
    <row r="308" spans="1:38" s="483" customFormat="1" x14ac:dyDescent="0.25">
      <c r="A308" s="1046" t="s">
        <v>324</v>
      </c>
      <c r="B308" s="517" t="s">
        <v>668</v>
      </c>
      <c r="C308" s="518" t="s">
        <v>87</v>
      </c>
      <c r="D308" s="519" t="e">
        <f t="shared" ref="D308:J308" si="57">(D70+D87-D110)+D58</f>
        <v>#REF!</v>
      </c>
      <c r="E308" s="480">
        <f t="shared" si="57"/>
        <v>304373</v>
      </c>
      <c r="F308" s="480">
        <f t="shared" si="57"/>
        <v>308634</v>
      </c>
      <c r="G308" s="480">
        <f t="shared" si="57"/>
        <v>362263</v>
      </c>
      <c r="H308" s="480">
        <f t="shared" si="57"/>
        <v>372641</v>
      </c>
      <c r="I308" s="1045">
        <f t="shared" si="57"/>
        <v>0</v>
      </c>
      <c r="J308" s="480">
        <f t="shared" si="57"/>
        <v>304373</v>
      </c>
      <c r="K308" s="481"/>
      <c r="L308" s="481"/>
      <c r="M308" s="481"/>
      <c r="N308" s="481"/>
      <c r="O308" s="481"/>
      <c r="P308" s="481"/>
      <c r="Q308" s="481"/>
      <c r="R308" s="481"/>
      <c r="S308" s="481"/>
      <c r="T308" s="481"/>
      <c r="U308" s="481"/>
      <c r="V308" s="481"/>
      <c r="W308" s="481"/>
      <c r="X308" s="481"/>
      <c r="Y308" s="481"/>
      <c r="Z308" s="481"/>
      <c r="AA308" s="481"/>
      <c r="AB308" s="481"/>
      <c r="AC308" s="481"/>
      <c r="AD308" s="481"/>
      <c r="AE308" s="481"/>
      <c r="AF308" s="481"/>
      <c r="AG308" s="481"/>
      <c r="AH308" s="481"/>
      <c r="AI308" s="481"/>
      <c r="AJ308" s="481"/>
      <c r="AK308" s="481"/>
      <c r="AL308" s="481"/>
    </row>
    <row r="309" spans="1:38" s="523" customFormat="1" x14ac:dyDescent="0.25">
      <c r="A309" s="1051"/>
      <c r="B309" s="554" t="s">
        <v>318</v>
      </c>
      <c r="C309" s="521"/>
      <c r="D309" s="581">
        <f>SUM(D310:D311,D314)+SUM(D318:D323)</f>
        <v>560105</v>
      </c>
      <c r="E309" s="582">
        <f>SUM(E310:E311,E314)+SUM(E318:E323)</f>
        <v>304373</v>
      </c>
      <c r="F309" s="582">
        <f>SUM(F310:F311,F314)+SUM(F318:F323)</f>
        <v>285810</v>
      </c>
      <c r="G309" s="582">
        <f>SUM(G310:G311,G314)+SUM(G318:G323)</f>
        <v>337738</v>
      </c>
      <c r="H309" s="582">
        <f>SUM(H310:H311,H314)+SUM(H318:H323)</f>
        <v>345329</v>
      </c>
      <c r="I309" s="582"/>
      <c r="J309" s="582"/>
      <c r="K309" s="488"/>
      <c r="L309" s="488"/>
      <c r="M309" s="488"/>
      <c r="N309" s="488"/>
      <c r="O309" s="488"/>
      <c r="P309" s="488"/>
      <c r="Q309" s="488"/>
      <c r="R309" s="488"/>
      <c r="S309" s="488"/>
      <c r="T309" s="488"/>
      <c r="U309" s="488"/>
      <c r="V309" s="488"/>
      <c r="W309" s="488"/>
      <c r="X309" s="488"/>
      <c r="Y309" s="488"/>
      <c r="Z309" s="488"/>
      <c r="AA309" s="488"/>
      <c r="AB309" s="488"/>
      <c r="AC309" s="488"/>
      <c r="AD309" s="488"/>
      <c r="AE309" s="488"/>
      <c r="AF309" s="488"/>
      <c r="AG309" s="488"/>
      <c r="AH309" s="488"/>
      <c r="AI309" s="488"/>
      <c r="AJ309" s="488"/>
      <c r="AK309" s="522"/>
      <c r="AL309" s="522"/>
    </row>
    <row r="310" spans="1:38" s="491" customFormat="1" x14ac:dyDescent="0.25">
      <c r="A310" s="1049" t="s">
        <v>347</v>
      </c>
      <c r="B310" s="554" t="s">
        <v>378</v>
      </c>
      <c r="C310" s="521" t="s">
        <v>87</v>
      </c>
      <c r="D310" s="494">
        <f>'Pl 2014-17 PFC'!D298</f>
        <v>551963</v>
      </c>
      <c r="E310" s="496">
        <f>'Pl 2014-17 PFC'!E298</f>
        <v>311740</v>
      </c>
      <c r="F310" s="496">
        <f>'Pl 2014-17 PFC'!F298</f>
        <v>311134</v>
      </c>
      <c r="G310" s="496">
        <f>'Pl 2014-17 PFC'!G298</f>
        <v>378419</v>
      </c>
      <c r="H310" s="496">
        <f>'Pl 2014-17 PFC'!H298</f>
        <v>398870</v>
      </c>
      <c r="I310" s="496">
        <f>'Pl 2014-17 PFC'!J298</f>
        <v>0</v>
      </c>
      <c r="J310" s="496">
        <f>'Pl 2014-17 PFC'!K298</f>
        <v>311740</v>
      </c>
      <c r="K310" s="488"/>
      <c r="L310" s="488"/>
      <c r="M310" s="488"/>
      <c r="N310" s="488"/>
      <c r="O310" s="488"/>
      <c r="P310" s="488"/>
      <c r="Q310" s="488"/>
      <c r="R310" s="488"/>
      <c r="S310" s="488"/>
      <c r="T310" s="488"/>
      <c r="U310" s="488"/>
      <c r="V310" s="488"/>
      <c r="W310" s="488"/>
      <c r="X310" s="488"/>
      <c r="Y310" s="488"/>
      <c r="Z310" s="488"/>
      <c r="AA310" s="488"/>
      <c r="AB310" s="488"/>
      <c r="AC310" s="488"/>
      <c r="AD310" s="488"/>
      <c r="AE310" s="488"/>
      <c r="AF310" s="488"/>
      <c r="AG310" s="488"/>
      <c r="AH310" s="488"/>
      <c r="AI310" s="488"/>
      <c r="AJ310" s="488"/>
      <c r="AK310" s="490"/>
      <c r="AL310" s="490"/>
    </row>
    <row r="311" spans="1:38" s="491" customFormat="1" ht="15.75" customHeight="1" x14ac:dyDescent="0.25">
      <c r="A311" s="1049" t="s">
        <v>674</v>
      </c>
      <c r="B311" s="554" t="s">
        <v>92</v>
      </c>
      <c r="C311" s="521" t="s">
        <v>87</v>
      </c>
      <c r="D311" s="496">
        <f>'Pl 2014-17 PFC'!D301</f>
        <v>801518</v>
      </c>
      <c r="E311" s="496">
        <f>'Pl 2014-17 PFC'!E301</f>
        <v>770240</v>
      </c>
      <c r="F311" s="496">
        <f>'Pl 2014-17 PFC'!F301</f>
        <v>769173</v>
      </c>
      <c r="G311" s="496">
        <f>'Pl 2014-17 PFC'!G301</f>
        <v>777744</v>
      </c>
      <c r="H311" s="496">
        <f>'Pl 2014-17 PFC'!H301</f>
        <v>776865</v>
      </c>
      <c r="I311" s="496">
        <f>'Pl 2014-17 PFC'!J301</f>
        <v>0</v>
      </c>
      <c r="J311" s="496">
        <f>'Pl 2014-17 PFC'!K301</f>
        <v>770240</v>
      </c>
      <c r="K311" s="488"/>
      <c r="L311" s="488"/>
      <c r="M311" s="488"/>
      <c r="N311" s="488"/>
      <c r="O311" s="488"/>
      <c r="P311" s="488"/>
      <c r="Q311" s="488"/>
      <c r="R311" s="488"/>
      <c r="S311" s="488"/>
      <c r="T311" s="488"/>
      <c r="U311" s="488"/>
      <c r="V311" s="488"/>
      <c r="W311" s="488"/>
      <c r="X311" s="488"/>
      <c r="Y311" s="488"/>
      <c r="Z311" s="488"/>
      <c r="AA311" s="488"/>
      <c r="AB311" s="488"/>
      <c r="AC311" s="488"/>
      <c r="AD311" s="488"/>
      <c r="AE311" s="488"/>
      <c r="AF311" s="488"/>
      <c r="AG311" s="488"/>
      <c r="AH311" s="488"/>
      <c r="AI311" s="488"/>
      <c r="AJ311" s="488"/>
      <c r="AK311" s="490"/>
      <c r="AL311" s="490"/>
    </row>
    <row r="312" spans="1:38" s="491" customFormat="1" ht="15.75" customHeight="1" x14ac:dyDescent="0.25">
      <c r="A312" s="1049" t="s">
        <v>25</v>
      </c>
      <c r="B312" s="554" t="s">
        <v>477</v>
      </c>
      <c r="C312" s="521" t="s">
        <v>87</v>
      </c>
      <c r="D312" s="496">
        <f>'Pl 2014-17 PFC'!D302</f>
        <v>640000</v>
      </c>
      <c r="E312" s="496">
        <f>'Pl 2014-17 PFC'!E302</f>
        <v>610000</v>
      </c>
      <c r="F312" s="496">
        <f>'Pl 2014-17 PFC'!F302</f>
        <v>610000</v>
      </c>
      <c r="G312" s="496">
        <f>'Pl 2014-17 PFC'!G302</f>
        <v>620000</v>
      </c>
      <c r="H312" s="496">
        <f>'Pl 2014-17 PFC'!H302</f>
        <v>620000</v>
      </c>
      <c r="I312" s="496">
        <f>'Pl 2014-17 PFC'!J302</f>
        <v>0</v>
      </c>
      <c r="J312" s="496">
        <f>'Pl 2014-17 PFC'!K302</f>
        <v>610000</v>
      </c>
      <c r="K312" s="488"/>
      <c r="L312" s="488"/>
      <c r="M312" s="488"/>
      <c r="N312" s="488"/>
      <c r="O312" s="488"/>
      <c r="P312" s="488"/>
      <c r="Q312" s="488"/>
      <c r="R312" s="488"/>
      <c r="S312" s="488"/>
      <c r="T312" s="488"/>
      <c r="U312" s="488"/>
      <c r="V312" s="488"/>
      <c r="W312" s="488"/>
      <c r="X312" s="488"/>
      <c r="Y312" s="488"/>
      <c r="Z312" s="488"/>
      <c r="AA312" s="488"/>
      <c r="AB312" s="488"/>
      <c r="AC312" s="488"/>
      <c r="AD312" s="488"/>
      <c r="AE312" s="488"/>
      <c r="AF312" s="488"/>
      <c r="AG312" s="488"/>
      <c r="AH312" s="488"/>
      <c r="AI312" s="488"/>
      <c r="AJ312" s="488"/>
      <c r="AK312" s="490"/>
      <c r="AL312" s="490"/>
    </row>
    <row r="313" spans="1:38" s="491" customFormat="1" ht="15.75" customHeight="1" x14ac:dyDescent="0.25">
      <c r="A313" s="1049" t="s">
        <v>208</v>
      </c>
      <c r="B313" s="554" t="s">
        <v>478</v>
      </c>
      <c r="C313" s="521" t="s">
        <v>87</v>
      </c>
      <c r="D313" s="496">
        <f>'Pl 2014-17 PFC'!D303</f>
        <v>4696</v>
      </c>
      <c r="E313" s="496">
        <f>'Pl 2014-17 PFC'!E303</f>
        <v>4644</v>
      </c>
      <c r="F313" s="496">
        <f>'Pl 2014-17 PFC'!F303</f>
        <v>4666</v>
      </c>
      <c r="G313" s="496">
        <f>'Pl 2014-17 PFC'!G303</f>
        <v>4527</v>
      </c>
      <c r="H313" s="496">
        <f>'Pl 2014-17 PFC'!H303</f>
        <v>4636</v>
      </c>
      <c r="I313" s="496">
        <f>'Pl 2014-17 PFC'!J303</f>
        <v>0</v>
      </c>
      <c r="J313" s="496">
        <f>'Pl 2014-17 PFC'!K303</f>
        <v>4644</v>
      </c>
      <c r="K313" s="488"/>
      <c r="L313" s="488"/>
      <c r="M313" s="488"/>
      <c r="N313" s="488"/>
      <c r="O313" s="488"/>
      <c r="P313" s="488"/>
      <c r="Q313" s="488"/>
      <c r="R313" s="488"/>
      <c r="S313" s="488"/>
      <c r="T313" s="488"/>
      <c r="U313" s="488"/>
      <c r="V313" s="488"/>
      <c r="W313" s="488"/>
      <c r="X313" s="488"/>
      <c r="Y313" s="488"/>
      <c r="Z313" s="488"/>
      <c r="AA313" s="488"/>
      <c r="AB313" s="488"/>
      <c r="AC313" s="488"/>
      <c r="AD313" s="488"/>
      <c r="AE313" s="488"/>
      <c r="AF313" s="488"/>
      <c r="AG313" s="488"/>
      <c r="AH313" s="488"/>
      <c r="AI313" s="488"/>
      <c r="AJ313" s="488"/>
      <c r="AK313" s="490"/>
      <c r="AL313" s="490"/>
    </row>
    <row r="314" spans="1:38" s="491" customFormat="1" x14ac:dyDescent="0.25">
      <c r="A314" s="1049" t="s">
        <v>666</v>
      </c>
      <c r="B314" s="554" t="s">
        <v>381</v>
      </c>
      <c r="C314" s="521" t="s">
        <v>87</v>
      </c>
      <c r="D314" s="496">
        <f>'Pl 2014-17 PFC'!D304</f>
        <v>-65650</v>
      </c>
      <c r="E314" s="496">
        <f>'Pl 2014-17 PFC'!E304</f>
        <v>-69559</v>
      </c>
      <c r="F314" s="496">
        <f>'Pl 2014-17 PFC'!F304</f>
        <v>-64356</v>
      </c>
      <c r="G314" s="496">
        <f>'Pl 2014-17 PFC'!G304</f>
        <v>-64139</v>
      </c>
      <c r="H314" s="496">
        <f>'Pl 2014-17 PFC'!H304</f>
        <v>-64110</v>
      </c>
      <c r="I314" s="496">
        <f>'Pl 2014-17 PFC'!J304</f>
        <v>0</v>
      </c>
      <c r="J314" s="496">
        <f>'Pl 2014-17 PFC'!K304</f>
        <v>-69559</v>
      </c>
      <c r="K314" s="488"/>
      <c r="L314" s="488"/>
      <c r="M314" s="488"/>
      <c r="N314" s="488"/>
      <c r="O314" s="488"/>
      <c r="P314" s="488"/>
      <c r="Q314" s="488"/>
      <c r="R314" s="488"/>
      <c r="S314" s="488"/>
      <c r="T314" s="488"/>
      <c r="U314" s="488"/>
      <c r="V314" s="488"/>
      <c r="W314" s="488"/>
      <c r="X314" s="488"/>
      <c r="Y314" s="488"/>
      <c r="Z314" s="488"/>
      <c r="AA314" s="488"/>
      <c r="AB314" s="488"/>
      <c r="AC314" s="488"/>
      <c r="AD314" s="488"/>
      <c r="AE314" s="488"/>
      <c r="AF314" s="488"/>
      <c r="AG314" s="488"/>
      <c r="AH314" s="488"/>
      <c r="AI314" s="488"/>
      <c r="AJ314" s="488"/>
      <c r="AK314" s="490"/>
      <c r="AL314" s="490"/>
    </row>
    <row r="315" spans="1:38" s="491" customFormat="1" x14ac:dyDescent="0.25">
      <c r="A315" s="1049" t="s">
        <v>382</v>
      </c>
      <c r="B315" s="554" t="str">
        <f>+'Pl 2014-17 PFC'!B305</f>
        <v>pozostałe:</v>
      </c>
      <c r="C315" s="521" t="s">
        <v>87</v>
      </c>
      <c r="D315" s="496">
        <f>'Pl 2014-17 PFC'!D305</f>
        <v>-65650</v>
      </c>
      <c r="E315" s="496">
        <f>'Pl 2014-17 PFC'!E305</f>
        <v>-69559</v>
      </c>
      <c r="F315" s="496">
        <f>'Pl 2014-17 PFC'!F305</f>
        <v>-64356</v>
      </c>
      <c r="G315" s="496">
        <f>'Pl 2014-17 PFC'!G305</f>
        <v>-64139</v>
      </c>
      <c r="H315" s="496">
        <f>'Pl 2014-17 PFC'!H305</f>
        <v>-64110</v>
      </c>
      <c r="I315" s="496">
        <f>'Pl 2014-17 PFC'!J305</f>
        <v>0</v>
      </c>
      <c r="J315" s="496">
        <f>'Pl 2014-17 PFC'!K305</f>
        <v>-69559</v>
      </c>
      <c r="K315" s="488"/>
      <c r="L315" s="488"/>
      <c r="M315" s="488"/>
      <c r="N315" s="488"/>
      <c r="O315" s="488"/>
      <c r="P315" s="488"/>
      <c r="Q315" s="488"/>
      <c r="R315" s="488"/>
      <c r="S315" s="488"/>
      <c r="T315" s="488"/>
      <c r="U315" s="488"/>
      <c r="V315" s="488"/>
      <c r="W315" s="488"/>
      <c r="X315" s="488"/>
      <c r="Y315" s="488"/>
      <c r="Z315" s="488"/>
      <c r="AA315" s="488"/>
      <c r="AB315" s="488"/>
      <c r="AC315" s="488"/>
      <c r="AD315" s="488"/>
      <c r="AE315" s="488"/>
      <c r="AF315" s="488"/>
      <c r="AG315" s="488"/>
      <c r="AH315" s="488"/>
      <c r="AI315" s="488"/>
      <c r="AJ315" s="488"/>
      <c r="AK315" s="490"/>
      <c r="AL315" s="490"/>
    </row>
    <row r="316" spans="1:38" s="491" customFormat="1" hidden="1" x14ac:dyDescent="0.25">
      <c r="A316" s="1049" t="s">
        <v>99</v>
      </c>
      <c r="B316" s="554" t="str">
        <f>+'Pl 2014-17 PFC'!B306</f>
        <v xml:space="preserve">  - wymagalne</v>
      </c>
      <c r="C316" s="521" t="s">
        <v>87</v>
      </c>
      <c r="D316" s="496">
        <f>'Pl 2014-17 PFC'!D306</f>
        <v>0</v>
      </c>
      <c r="E316" s="496">
        <f>'Pl 2014-17 PFC'!E306</f>
        <v>0</v>
      </c>
      <c r="F316" s="496">
        <f>'Pl 2014-17 PFC'!F306</f>
        <v>0</v>
      </c>
      <c r="G316" s="496">
        <f>'Pl 2014-17 PFC'!G306</f>
        <v>0</v>
      </c>
      <c r="H316" s="496">
        <f>'Pl 2014-17 PFC'!H306</f>
        <v>0</v>
      </c>
      <c r="I316" s="496">
        <f>'Pl 2014-17 PFC'!J306</f>
        <v>0</v>
      </c>
      <c r="J316" s="496">
        <f>'Pl 2014-17 PFC'!K306</f>
        <v>0</v>
      </c>
      <c r="K316" s="488"/>
      <c r="L316" s="488"/>
      <c r="M316" s="488"/>
      <c r="N316" s="488"/>
      <c r="O316" s="488"/>
      <c r="P316" s="488"/>
      <c r="Q316" s="488"/>
      <c r="R316" s="488"/>
      <c r="S316" s="488"/>
      <c r="T316" s="488"/>
      <c r="U316" s="488"/>
      <c r="V316" s="488"/>
      <c r="W316" s="488"/>
      <c r="X316" s="488"/>
      <c r="Y316" s="488"/>
      <c r="Z316" s="488"/>
      <c r="AA316" s="488"/>
      <c r="AB316" s="488"/>
      <c r="AC316" s="488"/>
      <c r="AD316" s="488"/>
      <c r="AE316" s="488"/>
      <c r="AF316" s="488"/>
      <c r="AG316" s="488"/>
      <c r="AH316" s="488"/>
      <c r="AI316" s="488"/>
      <c r="AJ316" s="488"/>
      <c r="AK316" s="490"/>
      <c r="AL316" s="490"/>
    </row>
    <row r="317" spans="1:38" s="491" customFormat="1" x14ac:dyDescent="0.25">
      <c r="A317" s="1049" t="s">
        <v>383</v>
      </c>
      <c r="B317" s="554" t="s">
        <v>101</v>
      </c>
      <c r="C317" s="521" t="s">
        <v>87</v>
      </c>
      <c r="D317" s="496"/>
      <c r="E317" s="1064">
        <f>'Pl 2014-17 PFC'!F306</f>
        <v>0</v>
      </c>
      <c r="F317" s="1064">
        <f>'Pl 2014-17 PFC'!G306</f>
        <v>0</v>
      </c>
      <c r="G317" s="1064">
        <f>'Pl 2014-17 PFC'!H306</f>
        <v>0</v>
      </c>
      <c r="H317" s="1064" t="str">
        <f>'Pl 2014-17 PFC'!I306</f>
        <v>$#ODWOŁANIE$#ODWOŁANIE</v>
      </c>
      <c r="I317" s="1064">
        <f>'Pl 2014-17 PFC'!J306</f>
        <v>0</v>
      </c>
      <c r="J317" s="1064">
        <f>'Pl 2014-17 PFC'!K306</f>
        <v>0</v>
      </c>
      <c r="K317" s="488"/>
      <c r="L317" s="488"/>
      <c r="M317" s="488"/>
      <c r="N317" s="488"/>
      <c r="O317" s="488"/>
      <c r="P317" s="488"/>
      <c r="Q317" s="488"/>
      <c r="R317" s="488"/>
      <c r="S317" s="488"/>
      <c r="T317" s="488"/>
      <c r="U317" s="488"/>
      <c r="V317" s="488"/>
      <c r="W317" s="488"/>
      <c r="X317" s="488"/>
      <c r="Y317" s="488"/>
      <c r="Z317" s="488"/>
      <c r="AA317" s="488"/>
      <c r="AB317" s="488"/>
      <c r="AC317" s="488"/>
      <c r="AD317" s="488"/>
      <c r="AE317" s="488"/>
      <c r="AF317" s="488"/>
      <c r="AG317" s="488"/>
      <c r="AH317" s="488"/>
      <c r="AI317" s="488"/>
      <c r="AJ317" s="488"/>
      <c r="AK317" s="490"/>
      <c r="AL317" s="490"/>
    </row>
    <row r="318" spans="1:38" s="523" customFormat="1" hidden="1" x14ac:dyDescent="0.25">
      <c r="A318" s="486" t="s">
        <v>29</v>
      </c>
      <c r="B318" s="554" t="s">
        <v>102</v>
      </c>
      <c r="C318" s="521" t="s">
        <v>87</v>
      </c>
      <c r="D318" s="496">
        <f>'Pl 2014-17 PFC'!D308</f>
        <v>23014</v>
      </c>
      <c r="E318" s="496">
        <f>'Pl 2014-17 PFC'!E308</f>
        <v>24034</v>
      </c>
      <c r="F318" s="496">
        <f>'Pl 2014-17 PFC'!F308</f>
        <v>23028</v>
      </c>
      <c r="G318" s="496">
        <f>'Pl 2014-17 PFC'!G308</f>
        <v>21021</v>
      </c>
      <c r="H318" s="496">
        <f>'Pl 2014-17 PFC'!H308</f>
        <v>20016</v>
      </c>
      <c r="I318" s="496">
        <f>'Pl 2014-17 PFC'!J308</f>
        <v>0</v>
      </c>
      <c r="J318" s="496">
        <f>'Pl 2014-17 PFC'!K308</f>
        <v>24034</v>
      </c>
      <c r="K318" s="488"/>
      <c r="L318" s="488"/>
      <c r="M318" s="488"/>
      <c r="N318" s="488"/>
      <c r="O318" s="488"/>
      <c r="P318" s="488"/>
      <c r="Q318" s="488"/>
      <c r="R318" s="488"/>
      <c r="S318" s="488"/>
      <c r="T318" s="488"/>
      <c r="U318" s="488"/>
      <c r="V318" s="488"/>
      <c r="W318" s="488"/>
      <c r="X318" s="488"/>
      <c r="Y318" s="488"/>
      <c r="Z318" s="488"/>
      <c r="AA318" s="488"/>
      <c r="AB318" s="488"/>
      <c r="AC318" s="488"/>
      <c r="AD318" s="488"/>
      <c r="AE318" s="488"/>
      <c r="AF318" s="488"/>
      <c r="AG318" s="488"/>
      <c r="AH318" s="488"/>
      <c r="AI318" s="488"/>
      <c r="AJ318" s="488"/>
      <c r="AK318" s="522"/>
      <c r="AL318" s="522"/>
    </row>
    <row r="319" spans="1:38" s="523" customFormat="1" hidden="1" x14ac:dyDescent="0.25">
      <c r="A319" s="486" t="s">
        <v>31</v>
      </c>
      <c r="B319" s="554" t="s">
        <v>103</v>
      </c>
      <c r="C319" s="521" t="s">
        <v>87</v>
      </c>
      <c r="D319" s="496">
        <f>'Pl 2014-17 PFC'!D309</f>
        <v>35844</v>
      </c>
      <c r="E319" s="496">
        <f>'Pl 2014-17 PFC'!E309</f>
        <v>36479</v>
      </c>
      <c r="F319" s="496">
        <f>'Pl 2014-17 PFC'!F309</f>
        <v>35062</v>
      </c>
      <c r="G319" s="496">
        <f>'Pl 2014-17 PFC'!G309</f>
        <v>32803</v>
      </c>
      <c r="H319" s="496">
        <f>'Pl 2014-17 PFC'!H309</f>
        <v>31631</v>
      </c>
      <c r="I319" s="496">
        <f>'Pl 2014-17 PFC'!J309</f>
        <v>0</v>
      </c>
      <c r="J319" s="496">
        <f>'Pl 2014-17 PFC'!K309</f>
        <v>36479</v>
      </c>
      <c r="K319" s="488"/>
      <c r="L319" s="488"/>
      <c r="M319" s="488"/>
      <c r="N319" s="488"/>
      <c r="O319" s="488"/>
      <c r="P319" s="488"/>
      <c r="Q319" s="488"/>
      <c r="R319" s="488"/>
      <c r="S319" s="488"/>
      <c r="T319" s="488"/>
      <c r="U319" s="488"/>
      <c r="V319" s="488"/>
      <c r="W319" s="488"/>
      <c r="X319" s="488"/>
      <c r="Y319" s="488"/>
      <c r="Z319" s="488"/>
      <c r="AA319" s="488"/>
      <c r="AB319" s="488"/>
      <c r="AC319" s="488"/>
      <c r="AD319" s="488"/>
      <c r="AE319" s="488"/>
      <c r="AF319" s="488"/>
      <c r="AG319" s="488"/>
      <c r="AH319" s="488"/>
      <c r="AI319" s="488"/>
      <c r="AJ319" s="488"/>
      <c r="AK319" s="522"/>
      <c r="AL319" s="522"/>
    </row>
    <row r="320" spans="1:38" s="491" customFormat="1" hidden="1" x14ac:dyDescent="0.25">
      <c r="A320" s="486" t="s">
        <v>35</v>
      </c>
      <c r="B320" s="554" t="s">
        <v>104</v>
      </c>
      <c r="C320" s="521" t="s">
        <v>87</v>
      </c>
      <c r="D320" s="496">
        <f>'Pl 2014-17 PFC'!D310</f>
        <v>-4750</v>
      </c>
      <c r="E320" s="496">
        <f>'Pl 2014-17 PFC'!E310</f>
        <v>-4750</v>
      </c>
      <c r="F320" s="496">
        <f>'Pl 2014-17 PFC'!F310</f>
        <v>-4875</v>
      </c>
      <c r="G320" s="496">
        <f>'Pl 2014-17 PFC'!G310</f>
        <v>-4850</v>
      </c>
      <c r="H320" s="496">
        <f>'Pl 2014-17 PFC'!H310</f>
        <v>-4775</v>
      </c>
      <c r="I320" s="496">
        <f>'Pl 2014-17 PFC'!J310</f>
        <v>0</v>
      </c>
      <c r="J320" s="496">
        <f>'Pl 2014-17 PFC'!K310</f>
        <v>-4750</v>
      </c>
      <c r="K320" s="488"/>
      <c r="L320" s="488"/>
      <c r="M320" s="488"/>
      <c r="N320" s="488"/>
      <c r="O320" s="488"/>
      <c r="P320" s="488"/>
      <c r="Q320" s="488"/>
      <c r="R320" s="488"/>
      <c r="S320" s="488"/>
      <c r="T320" s="488"/>
      <c r="U320" s="488"/>
      <c r="V320" s="488"/>
      <c r="W320" s="488"/>
      <c r="X320" s="488"/>
      <c r="Y320" s="488"/>
      <c r="Z320" s="488"/>
      <c r="AA320" s="488"/>
      <c r="AB320" s="488"/>
      <c r="AC320" s="488"/>
      <c r="AD320" s="488"/>
      <c r="AE320" s="488"/>
      <c r="AF320" s="488"/>
      <c r="AG320" s="488"/>
      <c r="AH320" s="488"/>
      <c r="AI320" s="488"/>
      <c r="AJ320" s="488"/>
      <c r="AK320" s="490"/>
      <c r="AL320" s="490"/>
    </row>
    <row r="321" spans="1:38" s="491" customFormat="1" hidden="1" x14ac:dyDescent="0.25">
      <c r="A321" s="486" t="s">
        <v>37</v>
      </c>
      <c r="B321" s="554" t="s">
        <v>105</v>
      </c>
      <c r="C321" s="521" t="s">
        <v>87</v>
      </c>
      <c r="D321" s="496">
        <f>'Pl 2014-17 PFC'!D311</f>
        <v>0</v>
      </c>
      <c r="E321" s="496">
        <f>'Pl 2014-17 PFC'!E311</f>
        <v>0</v>
      </c>
      <c r="F321" s="496">
        <f>'Pl 2014-17 PFC'!F311</f>
        <v>0</v>
      </c>
      <c r="G321" s="496">
        <f>'Pl 2014-17 PFC'!G311</f>
        <v>0</v>
      </c>
      <c r="H321" s="496">
        <f>'Pl 2014-17 PFC'!H311</f>
        <v>0</v>
      </c>
      <c r="I321" s="496">
        <f>'Pl 2014-17 PFC'!J311</f>
        <v>0</v>
      </c>
      <c r="J321" s="496">
        <f>'Pl 2014-17 PFC'!K311</f>
        <v>0</v>
      </c>
      <c r="K321" s="488"/>
      <c r="L321" s="488"/>
      <c r="M321" s="488"/>
      <c r="N321" s="488"/>
      <c r="O321" s="488"/>
      <c r="P321" s="488"/>
      <c r="Q321" s="488"/>
      <c r="R321" s="488"/>
      <c r="S321" s="488"/>
      <c r="T321" s="488"/>
      <c r="U321" s="488"/>
      <c r="V321" s="488"/>
      <c r="W321" s="488"/>
      <c r="X321" s="488"/>
      <c r="Y321" s="488"/>
      <c r="Z321" s="488"/>
      <c r="AA321" s="488"/>
      <c r="AB321" s="488"/>
      <c r="AC321" s="488"/>
      <c r="AD321" s="488"/>
      <c r="AE321" s="488"/>
      <c r="AF321" s="488"/>
      <c r="AG321" s="488"/>
      <c r="AH321" s="488"/>
      <c r="AI321" s="488"/>
      <c r="AJ321" s="488"/>
      <c r="AK321" s="490"/>
      <c r="AL321" s="490"/>
    </row>
    <row r="322" spans="1:38" s="491" customFormat="1" hidden="1" x14ac:dyDescent="0.25">
      <c r="A322" s="486" t="s">
        <v>41</v>
      </c>
      <c r="B322" s="554" t="s">
        <v>106</v>
      </c>
      <c r="C322" s="521" t="s">
        <v>87</v>
      </c>
      <c r="D322" s="496">
        <f>'Pl 2014-17 PFC'!D312</f>
        <v>-778534</v>
      </c>
      <c r="E322" s="496">
        <f>'Pl 2014-17 PFC'!E312</f>
        <v>-760561</v>
      </c>
      <c r="F322" s="496">
        <f>'Pl 2014-17 PFC'!F312</f>
        <v>-780156</v>
      </c>
      <c r="G322" s="496">
        <f>'Pl 2014-17 PFC'!G312</f>
        <v>-800010</v>
      </c>
      <c r="H322" s="496">
        <f>'Pl 2014-17 PFC'!H312</f>
        <v>-809868</v>
      </c>
      <c r="I322" s="496">
        <f>'Pl 2014-17 PFC'!J312</f>
        <v>0</v>
      </c>
      <c r="J322" s="496">
        <f>'Pl 2014-17 PFC'!K312</f>
        <v>-760561</v>
      </c>
      <c r="K322" s="488"/>
      <c r="L322" s="488"/>
      <c r="M322" s="488"/>
      <c r="N322" s="488"/>
      <c r="O322" s="488"/>
      <c r="P322" s="488"/>
      <c r="Q322" s="488"/>
      <c r="R322" s="488"/>
      <c r="S322" s="488"/>
      <c r="T322" s="488"/>
      <c r="U322" s="488"/>
      <c r="V322" s="488"/>
      <c r="W322" s="488"/>
      <c r="X322" s="488"/>
      <c r="Y322" s="488"/>
      <c r="Z322" s="488"/>
      <c r="AA322" s="488"/>
      <c r="AB322" s="488"/>
      <c r="AC322" s="488"/>
      <c r="AD322" s="488"/>
      <c r="AE322" s="488"/>
      <c r="AF322" s="488"/>
      <c r="AG322" s="488"/>
      <c r="AH322" s="488"/>
      <c r="AI322" s="488"/>
      <c r="AJ322" s="488"/>
      <c r="AK322" s="490"/>
      <c r="AL322" s="490"/>
    </row>
    <row r="323" spans="1:38" s="491" customFormat="1" hidden="1" x14ac:dyDescent="0.25">
      <c r="A323" s="486" t="s">
        <v>44</v>
      </c>
      <c r="B323" s="554" t="s">
        <v>107</v>
      </c>
      <c r="C323" s="521" t="s">
        <v>87</v>
      </c>
      <c r="D323" s="496">
        <f>'Pl 2014-17 PFC'!D313</f>
        <v>-3300</v>
      </c>
      <c r="E323" s="496">
        <f>'Pl 2014-17 PFC'!E313</f>
        <v>-3250</v>
      </c>
      <c r="F323" s="496">
        <f>'Pl 2014-17 PFC'!F313</f>
        <v>-3200</v>
      </c>
      <c r="G323" s="496">
        <f>'Pl 2014-17 PFC'!G313</f>
        <v>-3250</v>
      </c>
      <c r="H323" s="496">
        <f>'Pl 2014-17 PFC'!H313</f>
        <v>-3300</v>
      </c>
      <c r="I323" s="496">
        <f>'Pl 2014-17 PFC'!J313</f>
        <v>0</v>
      </c>
      <c r="J323" s="496">
        <f>'Pl 2014-17 PFC'!K313</f>
        <v>-3250</v>
      </c>
      <c r="K323" s="488"/>
      <c r="L323" s="488"/>
      <c r="M323" s="488"/>
      <c r="N323" s="488"/>
      <c r="O323" s="488"/>
      <c r="P323" s="488"/>
      <c r="Q323" s="488"/>
      <c r="R323" s="488"/>
      <c r="S323" s="488"/>
      <c r="T323" s="488"/>
      <c r="U323" s="488"/>
      <c r="V323" s="488"/>
      <c r="W323" s="488"/>
      <c r="X323" s="488"/>
      <c r="Y323" s="488"/>
      <c r="Z323" s="488"/>
      <c r="AA323" s="488"/>
      <c r="AB323" s="488"/>
      <c r="AC323" s="488"/>
      <c r="AD323" s="488"/>
      <c r="AE323" s="488"/>
      <c r="AF323" s="488"/>
      <c r="AG323" s="488"/>
      <c r="AH323" s="488"/>
      <c r="AI323" s="488"/>
      <c r="AJ323" s="488"/>
      <c r="AK323" s="490"/>
      <c r="AL323" s="490"/>
    </row>
    <row r="324" spans="1:38" ht="16.5" thickBot="1" x14ac:dyDescent="0.3">
      <c r="A324" s="583"/>
      <c r="B324" s="584"/>
      <c r="C324" s="585"/>
      <c r="D324" s="586"/>
      <c r="E324" s="587"/>
      <c r="F324" s="587"/>
      <c r="G324" s="587"/>
      <c r="H324" s="587"/>
      <c r="I324" s="587"/>
      <c r="J324" s="587"/>
    </row>
    <row r="325" spans="1:38" ht="19.5" hidden="1" thickBot="1" x14ac:dyDescent="0.35">
      <c r="A325" s="311" t="s">
        <v>479</v>
      </c>
      <c r="B325" s="588"/>
      <c r="C325" s="589"/>
      <c r="D325" s="590"/>
      <c r="E325" s="590"/>
      <c r="F325" s="590"/>
      <c r="G325" s="590"/>
      <c r="I325" s="590"/>
      <c r="J325" s="590"/>
    </row>
    <row r="326" spans="1:38" ht="63.75" hidden="1" customHeight="1" x14ac:dyDescent="0.25">
      <c r="A326" s="1124" t="s">
        <v>7</v>
      </c>
      <c r="B326" s="1110" t="s">
        <v>8</v>
      </c>
      <c r="C326" s="1109" t="s">
        <v>85</v>
      </c>
      <c r="D326" s="591" t="str">
        <f>D66</f>
        <v>Przewidywane 
wykonanie 
w 2013 r.</v>
      </c>
      <c r="E326" s="591" t="str">
        <f>E66</f>
        <v>Plan wg. Ustawy Budżetowej zmieniony
za zgodą MF z dnia 
30  kwietnia 2014 r. oraz 
opinią KFP 
z dnia 7 maja 2014 r.</v>
      </c>
      <c r="F326" s="591" t="str">
        <f>F66</f>
        <v>Projekt planu 
na 2015 r.</v>
      </c>
      <c r="G326" s="591" t="str">
        <f>G66</f>
        <v>Projekt planu 
na 2016 r.</v>
      </c>
      <c r="H326" s="591" t="str">
        <f>H66</f>
        <v>Projekt planu 
na 2017 r.</v>
      </c>
      <c r="I326" s="591"/>
      <c r="J326" s="591"/>
    </row>
    <row r="327" spans="1:38" ht="16.5" hidden="1" customHeight="1" x14ac:dyDescent="0.25">
      <c r="A327" s="1124"/>
      <c r="B327" s="1110"/>
      <c r="C327" s="1109"/>
      <c r="D327" s="1114" t="str">
        <f>D67</f>
        <v>w tysiącach złotych</v>
      </c>
      <c r="E327" s="1114"/>
      <c r="F327" s="1114"/>
      <c r="G327" s="1114"/>
      <c r="H327" s="1114"/>
      <c r="I327" s="449"/>
      <c r="J327" s="450"/>
    </row>
    <row r="328" spans="1:38" ht="16.5" hidden="1" thickBot="1" x14ac:dyDescent="0.3">
      <c r="A328" s="592">
        <v>1</v>
      </c>
      <c r="B328" s="593">
        <v>2</v>
      </c>
      <c r="C328" s="594"/>
      <c r="D328" s="595">
        <v>3</v>
      </c>
      <c r="E328" s="596">
        <v>4</v>
      </c>
      <c r="F328" s="596">
        <v>5</v>
      </c>
      <c r="G328" s="596">
        <v>6</v>
      </c>
      <c r="H328" s="596">
        <v>7</v>
      </c>
      <c r="I328" s="596"/>
      <c r="J328" s="596"/>
    </row>
    <row r="329" spans="1:38" s="602" customFormat="1" ht="16.5" hidden="1" thickBot="1" x14ac:dyDescent="0.3">
      <c r="A329" s="597" t="s">
        <v>15</v>
      </c>
      <c r="B329" s="598" t="s">
        <v>330</v>
      </c>
      <c r="C329" s="599" t="s">
        <v>87</v>
      </c>
      <c r="D329" s="600">
        <f>SUM(D331,D337,D339,D341,D343)</f>
        <v>4580145</v>
      </c>
      <c r="E329" s="600">
        <f>SUM(E331,E337,E339,E341,E343)</f>
        <v>4556729.1500000004</v>
      </c>
      <c r="F329" s="600">
        <f>SUM(F331,F337,F339,F341,F343)</f>
        <v>4792167.1500000004</v>
      </c>
      <c r="G329" s="600">
        <f>SUM(G331,G337,G339,G341,G343)</f>
        <v>4968587.5</v>
      </c>
      <c r="H329" s="600">
        <f>SUM(H331,H337,H339,H341,H343)</f>
        <v>5066941</v>
      </c>
      <c r="I329" s="600"/>
      <c r="J329" s="600"/>
      <c r="K329" s="601"/>
      <c r="L329" s="601"/>
      <c r="M329" s="601"/>
      <c r="N329" s="601"/>
      <c r="O329" s="601"/>
      <c r="P329" s="601"/>
      <c r="Q329" s="601"/>
      <c r="R329" s="601"/>
      <c r="S329" s="601"/>
      <c r="T329" s="601"/>
      <c r="U329" s="601"/>
      <c r="V329" s="601"/>
      <c r="W329" s="601"/>
      <c r="X329" s="601"/>
      <c r="Y329" s="601"/>
      <c r="Z329" s="601"/>
      <c r="AA329" s="601"/>
      <c r="AB329" s="601"/>
      <c r="AC329" s="601"/>
      <c r="AD329" s="601"/>
      <c r="AE329" s="601"/>
      <c r="AF329" s="601"/>
      <c r="AG329" s="601"/>
      <c r="AH329" s="601"/>
      <c r="AI329" s="601"/>
      <c r="AJ329" s="601"/>
      <c r="AK329" s="601"/>
      <c r="AL329" s="601"/>
    </row>
    <row r="330" spans="1:38" s="610" customFormat="1" ht="9.9499999999999993" hidden="1" customHeight="1" x14ac:dyDescent="0.2">
      <c r="A330" s="603"/>
      <c r="B330" s="604"/>
      <c r="C330" s="605"/>
      <c r="D330" s="606"/>
      <c r="E330" s="607"/>
      <c r="F330" s="607"/>
      <c r="G330" s="607"/>
      <c r="H330" s="607"/>
      <c r="I330" s="607"/>
      <c r="J330" s="607"/>
      <c r="K330" s="608"/>
      <c r="L330" s="608"/>
      <c r="M330" s="608"/>
      <c r="N330" s="608"/>
      <c r="O330" s="608"/>
      <c r="P330" s="608"/>
      <c r="Q330" s="608"/>
      <c r="R330" s="608"/>
      <c r="S330" s="608"/>
      <c r="T330" s="608"/>
      <c r="U330" s="608"/>
      <c r="V330" s="608"/>
      <c r="W330" s="608"/>
      <c r="X330" s="608"/>
      <c r="Y330" s="608"/>
      <c r="Z330" s="608"/>
      <c r="AA330" s="608"/>
      <c r="AB330" s="608"/>
      <c r="AC330" s="608"/>
      <c r="AD330" s="608"/>
      <c r="AE330" s="608"/>
      <c r="AF330" s="608"/>
      <c r="AG330" s="608"/>
      <c r="AH330" s="608"/>
      <c r="AI330" s="608"/>
      <c r="AJ330" s="608"/>
      <c r="AK330" s="609"/>
      <c r="AL330" s="609"/>
    </row>
    <row r="331" spans="1:38" s="616" customFormat="1" ht="16.5" hidden="1" thickBot="1" x14ac:dyDescent="0.3">
      <c r="A331" s="611" t="s">
        <v>19</v>
      </c>
      <c r="B331" s="612" t="s">
        <v>385</v>
      </c>
      <c r="C331" s="613" t="s">
        <v>87</v>
      </c>
      <c r="D331" s="614">
        <f>'Pl 2014-17 PFC'!D318</f>
        <v>745360</v>
      </c>
      <c r="E331" s="614">
        <f>'Pl 2014-17 PFC'!E318</f>
        <v>745360</v>
      </c>
      <c r="F331" s="614">
        <f>'Pl 2014-17 PFC'!F318</f>
        <v>745360</v>
      </c>
      <c r="G331" s="614">
        <f>'Pl 2014-17 PFC'!G318</f>
        <v>745360</v>
      </c>
      <c r="H331" s="614">
        <f>'Pl 2014-17 PFC'!H318</f>
        <v>745360</v>
      </c>
      <c r="I331" s="614"/>
      <c r="J331" s="614"/>
      <c r="K331" s="615"/>
      <c r="L331" s="615"/>
      <c r="M331" s="615"/>
      <c r="N331" s="615"/>
      <c r="O331" s="615"/>
      <c r="P331" s="615"/>
      <c r="Q331" s="615"/>
      <c r="R331" s="615"/>
      <c r="S331" s="615"/>
      <c r="T331" s="615"/>
      <c r="U331" s="615"/>
      <c r="V331" s="615"/>
      <c r="W331" s="615"/>
      <c r="X331" s="615"/>
      <c r="Y331" s="615"/>
      <c r="Z331" s="615"/>
      <c r="AA331" s="615"/>
      <c r="AB331" s="615"/>
      <c r="AC331" s="615"/>
      <c r="AD331" s="615"/>
      <c r="AE331" s="615"/>
      <c r="AF331" s="615"/>
      <c r="AG331" s="615"/>
      <c r="AH331" s="615"/>
      <c r="AI331" s="615"/>
      <c r="AJ331" s="615"/>
      <c r="AK331" s="615"/>
      <c r="AL331" s="615"/>
    </row>
    <row r="332" spans="1:38" s="616" customFormat="1" ht="16.5" hidden="1" thickBot="1" x14ac:dyDescent="0.3">
      <c r="A332" s="617" t="s">
        <v>21</v>
      </c>
      <c r="B332" s="612" t="s">
        <v>386</v>
      </c>
      <c r="C332" s="613" t="s">
        <v>115</v>
      </c>
      <c r="D332" s="614">
        <f>'Pl 2014-17 PFC'!D319</f>
        <v>0</v>
      </c>
      <c r="E332" s="614">
        <f>'Pl 2014-17 PFC'!E320+'Pl 2014-17 PFC'!E321</f>
        <v>745360</v>
      </c>
      <c r="F332" s="614">
        <f>'Pl 2014-17 PFC'!F320+'Pl 2014-17 PFC'!F321</f>
        <v>745360</v>
      </c>
      <c r="G332" s="614">
        <f>'Pl 2014-17 PFC'!G320+'Pl 2014-17 PFC'!G321</f>
        <v>745360</v>
      </c>
      <c r="H332" s="614">
        <f>'Pl 2014-17 PFC'!H320+'Pl 2014-17 PFC'!H321</f>
        <v>745360</v>
      </c>
      <c r="I332" s="614"/>
      <c r="J332" s="614"/>
      <c r="K332" s="615"/>
      <c r="L332" s="615"/>
      <c r="M332" s="615"/>
      <c r="N332" s="615"/>
      <c r="O332" s="615"/>
      <c r="P332" s="615"/>
      <c r="Q332" s="615"/>
      <c r="R332" s="615"/>
      <c r="S332" s="615"/>
      <c r="T332" s="615"/>
      <c r="U332" s="615"/>
      <c r="V332" s="615"/>
      <c r="W332" s="615"/>
      <c r="X332" s="615"/>
      <c r="Y332" s="615"/>
      <c r="Z332" s="615"/>
      <c r="AA332" s="615"/>
      <c r="AB332" s="615"/>
      <c r="AC332" s="615"/>
      <c r="AD332" s="615"/>
      <c r="AE332" s="615"/>
      <c r="AF332" s="615"/>
      <c r="AG332" s="615"/>
      <c r="AH332" s="615"/>
      <c r="AI332" s="615"/>
      <c r="AJ332" s="615"/>
      <c r="AK332" s="615"/>
      <c r="AL332" s="615"/>
    </row>
    <row r="333" spans="1:38" s="616" customFormat="1" ht="45.75" hidden="1" thickBot="1" x14ac:dyDescent="0.3">
      <c r="A333" s="617" t="s">
        <v>22</v>
      </c>
      <c r="B333" s="618" t="s">
        <v>387</v>
      </c>
      <c r="C333" s="613" t="s">
        <v>115</v>
      </c>
      <c r="D333" s="614">
        <f>'Pl 2014-17 PFC'!D320</f>
        <v>25000</v>
      </c>
      <c r="E333" s="614"/>
      <c r="F333" s="614"/>
      <c r="G333" s="614"/>
      <c r="H333" s="614"/>
      <c r="I333" s="614"/>
      <c r="J333" s="614"/>
      <c r="K333" s="615"/>
      <c r="L333" s="615"/>
      <c r="M333" s="615"/>
      <c r="N333" s="615"/>
      <c r="O333" s="615"/>
      <c r="P333" s="615"/>
      <c r="Q333" s="615"/>
      <c r="R333" s="615"/>
      <c r="S333" s="615"/>
      <c r="T333" s="615"/>
      <c r="U333" s="615"/>
      <c r="V333" s="615"/>
      <c r="W333" s="615"/>
      <c r="X333" s="615"/>
      <c r="Y333" s="615"/>
      <c r="Z333" s="615"/>
      <c r="AA333" s="615"/>
      <c r="AB333" s="615"/>
      <c r="AC333" s="615"/>
      <c r="AD333" s="615"/>
      <c r="AE333" s="615"/>
      <c r="AF333" s="615"/>
      <c r="AG333" s="615"/>
      <c r="AH333" s="615"/>
      <c r="AI333" s="615"/>
      <c r="AJ333" s="615"/>
      <c r="AK333" s="615"/>
      <c r="AL333" s="615"/>
    </row>
    <row r="334" spans="1:38" s="616" customFormat="1" ht="16.5" hidden="1" thickBot="1" x14ac:dyDescent="0.3">
      <c r="A334" s="611" t="s">
        <v>331</v>
      </c>
      <c r="B334" s="619" t="s">
        <v>116</v>
      </c>
      <c r="C334" s="613" t="s">
        <v>115</v>
      </c>
      <c r="D334" s="614">
        <f>'Pl 2014-17 PFC'!D321</f>
        <v>720360</v>
      </c>
      <c r="E334" s="614"/>
      <c r="F334" s="614"/>
      <c r="G334" s="614"/>
      <c r="H334" s="614"/>
      <c r="I334" s="614"/>
      <c r="J334" s="614"/>
      <c r="K334" s="615"/>
      <c r="L334" s="615"/>
      <c r="M334" s="615"/>
      <c r="N334" s="615"/>
      <c r="O334" s="615"/>
      <c r="P334" s="615"/>
      <c r="Q334" s="615"/>
      <c r="R334" s="615"/>
      <c r="S334" s="615"/>
      <c r="T334" s="615"/>
      <c r="U334" s="615"/>
      <c r="V334" s="615"/>
      <c r="W334" s="615"/>
      <c r="X334" s="615"/>
      <c r="Y334" s="615"/>
      <c r="Z334" s="615"/>
      <c r="AA334" s="615"/>
      <c r="AB334" s="615"/>
      <c r="AC334" s="615"/>
      <c r="AD334" s="615"/>
      <c r="AE334" s="615"/>
      <c r="AF334" s="615"/>
      <c r="AG334" s="615"/>
      <c r="AH334" s="615"/>
      <c r="AI334" s="615"/>
      <c r="AJ334" s="615"/>
      <c r="AK334" s="615"/>
      <c r="AL334" s="615"/>
    </row>
    <row r="335" spans="1:38" s="616" customFormat="1" ht="16.5" hidden="1" thickBot="1" x14ac:dyDescent="0.3">
      <c r="A335" s="611"/>
      <c r="B335" s="619"/>
      <c r="C335" s="613"/>
      <c r="D335" s="614">
        <f>'Pl 2014-17 PFC'!D322</f>
        <v>0</v>
      </c>
      <c r="E335" s="614"/>
      <c r="F335" s="614"/>
      <c r="G335" s="614"/>
      <c r="H335" s="614"/>
      <c r="I335" s="614"/>
      <c r="J335" s="614"/>
      <c r="K335" s="615"/>
      <c r="L335" s="615"/>
      <c r="M335" s="615"/>
      <c r="N335" s="615"/>
      <c r="O335" s="615"/>
      <c r="P335" s="615"/>
      <c r="Q335" s="615"/>
      <c r="R335" s="615"/>
      <c r="S335" s="615"/>
      <c r="T335" s="615"/>
      <c r="U335" s="615"/>
      <c r="V335" s="615"/>
      <c r="W335" s="615"/>
      <c r="X335" s="615"/>
      <c r="Y335" s="615"/>
      <c r="Z335" s="615"/>
      <c r="AA335" s="615"/>
      <c r="AB335" s="615"/>
      <c r="AC335" s="615"/>
      <c r="AD335" s="615"/>
      <c r="AE335" s="615"/>
      <c r="AF335" s="615"/>
      <c r="AG335" s="615"/>
      <c r="AH335" s="615"/>
      <c r="AI335" s="615"/>
      <c r="AJ335" s="615"/>
      <c r="AK335" s="615"/>
      <c r="AL335" s="615"/>
    </row>
    <row r="336" spans="1:38" s="616" customFormat="1" ht="16.5" hidden="1" thickBot="1" x14ac:dyDescent="0.3">
      <c r="A336" s="611" t="s">
        <v>21</v>
      </c>
      <c r="B336" s="493" t="s">
        <v>386</v>
      </c>
      <c r="C336" s="613" t="s">
        <v>115</v>
      </c>
      <c r="D336" s="614">
        <f>'Pl 2014-17 PFC'!D318</f>
        <v>745360</v>
      </c>
      <c r="E336" s="614">
        <f>'Pl 2014-17 PFC'!E318</f>
        <v>745360</v>
      </c>
      <c r="F336" s="614">
        <f>'Pl 2014-17 PFC'!F318</f>
        <v>745360</v>
      </c>
      <c r="G336" s="614">
        <f>'Pl 2014-17 PFC'!G318</f>
        <v>745360</v>
      </c>
      <c r="H336" s="614">
        <f>'Pl 2014-17 PFC'!H318</f>
        <v>745360</v>
      </c>
      <c r="I336" s="614"/>
      <c r="J336" s="614"/>
      <c r="K336" s="615"/>
      <c r="L336" s="615"/>
      <c r="M336" s="615"/>
      <c r="N336" s="615"/>
      <c r="O336" s="615"/>
      <c r="P336" s="615"/>
      <c r="Q336" s="615"/>
      <c r="R336" s="615"/>
      <c r="S336" s="615"/>
      <c r="T336" s="615"/>
      <c r="U336" s="615"/>
      <c r="V336" s="615"/>
      <c r="W336" s="615"/>
      <c r="X336" s="615"/>
      <c r="Y336" s="615"/>
      <c r="Z336" s="615"/>
      <c r="AA336" s="615"/>
      <c r="AB336" s="615"/>
      <c r="AC336" s="615"/>
      <c r="AD336" s="615"/>
      <c r="AE336" s="615"/>
      <c r="AF336" s="615"/>
      <c r="AG336" s="615"/>
      <c r="AH336" s="615"/>
      <c r="AI336" s="615"/>
      <c r="AJ336" s="615"/>
      <c r="AK336" s="615"/>
      <c r="AL336" s="615"/>
    </row>
    <row r="337" spans="1:38" s="616" customFormat="1" ht="16.5" hidden="1" thickBot="1" x14ac:dyDescent="0.3">
      <c r="A337" s="620" t="s">
        <v>23</v>
      </c>
      <c r="B337" s="621" t="s">
        <v>117</v>
      </c>
      <c r="C337" s="613" t="s">
        <v>113</v>
      </c>
      <c r="D337" s="614">
        <f>'Pl 2014-17 PFC'!D324</f>
        <v>59367</v>
      </c>
      <c r="E337" s="614">
        <f>'Pl 2014-17 PFC'!E324</f>
        <v>39203</v>
      </c>
      <c r="F337" s="614">
        <f>'Pl 2014-17 PFC'!F324</f>
        <v>31000</v>
      </c>
      <c r="G337" s="614">
        <f>'Pl 2014-17 PFC'!G324</f>
        <v>0</v>
      </c>
      <c r="H337" s="614">
        <f>'Pl 2014-17 PFC'!H324</f>
        <v>0</v>
      </c>
      <c r="I337" s="614"/>
      <c r="J337" s="614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  <c r="U337" s="615"/>
      <c r="V337" s="615"/>
      <c r="W337" s="615"/>
      <c r="X337" s="615"/>
      <c r="Y337" s="615"/>
      <c r="Z337" s="615"/>
      <c r="AA337" s="615"/>
      <c r="AB337" s="615"/>
      <c r="AC337" s="615"/>
      <c r="AD337" s="615"/>
      <c r="AE337" s="615"/>
      <c r="AF337" s="615"/>
      <c r="AG337" s="615"/>
      <c r="AH337" s="615"/>
      <c r="AI337" s="615"/>
      <c r="AJ337" s="615"/>
      <c r="AK337" s="615"/>
      <c r="AL337" s="615"/>
    </row>
    <row r="338" spans="1:38" s="616" customFormat="1" ht="9.9499999999999993" hidden="1" customHeight="1" x14ac:dyDescent="0.25">
      <c r="A338" s="620"/>
      <c r="B338" s="621"/>
      <c r="C338" s="613"/>
      <c r="D338" s="614"/>
      <c r="E338" s="614"/>
      <c r="F338" s="614"/>
      <c r="G338" s="614"/>
      <c r="H338" s="614"/>
      <c r="I338" s="614"/>
      <c r="J338" s="614"/>
      <c r="K338" s="615"/>
      <c r="L338" s="615"/>
      <c r="M338" s="615"/>
      <c r="N338" s="615"/>
      <c r="O338" s="615"/>
      <c r="P338" s="615"/>
      <c r="Q338" s="615"/>
      <c r="R338" s="615"/>
      <c r="S338" s="615"/>
      <c r="T338" s="615"/>
      <c r="U338" s="615"/>
      <c r="V338" s="615"/>
      <c r="W338" s="615"/>
      <c r="X338" s="615"/>
      <c r="Y338" s="615"/>
      <c r="Z338" s="615"/>
      <c r="AA338" s="615"/>
      <c r="AB338" s="615"/>
      <c r="AC338" s="615"/>
      <c r="AD338" s="615"/>
      <c r="AE338" s="615"/>
      <c r="AF338" s="615"/>
      <c r="AG338" s="615"/>
      <c r="AH338" s="615"/>
      <c r="AI338" s="615"/>
      <c r="AJ338" s="615"/>
      <c r="AK338" s="615"/>
      <c r="AL338" s="615"/>
    </row>
    <row r="339" spans="1:38" s="616" customFormat="1" ht="16.5" hidden="1" thickBot="1" x14ac:dyDescent="0.3">
      <c r="A339" s="611" t="s">
        <v>27</v>
      </c>
      <c r="B339" s="612" t="s">
        <v>388</v>
      </c>
      <c r="C339" s="613" t="s">
        <v>119</v>
      </c>
      <c r="D339" s="614">
        <f>'Pl 2014-17 PFC'!D326</f>
        <v>3658854</v>
      </c>
      <c r="E339" s="614">
        <f>'Pl 2014-17 PFC'!E326</f>
        <v>3686760</v>
      </c>
      <c r="F339" s="614">
        <f>'Pl 2014-17 PFC'!F326</f>
        <v>3936280</v>
      </c>
      <c r="G339" s="614">
        <f>'Pl 2014-17 PFC'!G326</f>
        <v>4146156</v>
      </c>
      <c r="H339" s="614">
        <f>'Pl 2014-17 PFC'!H326</f>
        <v>4244582</v>
      </c>
      <c r="I339" s="614"/>
      <c r="J339" s="614"/>
      <c r="K339" s="615"/>
      <c r="L339" s="615"/>
      <c r="M339" s="615"/>
      <c r="N339" s="615"/>
      <c r="O339" s="615"/>
      <c r="P339" s="615"/>
      <c r="Q339" s="615"/>
      <c r="R339" s="615"/>
      <c r="S339" s="615"/>
      <c r="T339" s="615"/>
      <c r="U339" s="615"/>
      <c r="V339" s="615"/>
      <c r="W339" s="615"/>
      <c r="X339" s="615"/>
      <c r="Y339" s="615"/>
      <c r="Z339" s="615"/>
      <c r="AA339" s="615"/>
      <c r="AB339" s="615"/>
      <c r="AC339" s="615"/>
      <c r="AD339" s="615"/>
      <c r="AE339" s="615"/>
      <c r="AF339" s="615"/>
      <c r="AG339" s="615"/>
      <c r="AH339" s="615"/>
      <c r="AI339" s="615"/>
      <c r="AJ339" s="615"/>
      <c r="AK339" s="615"/>
      <c r="AL339" s="615"/>
    </row>
    <row r="340" spans="1:38" s="616" customFormat="1" ht="9.9499999999999993" hidden="1" customHeight="1" x14ac:dyDescent="0.25">
      <c r="A340" s="611"/>
      <c r="B340" s="622"/>
      <c r="C340" s="613"/>
      <c r="D340" s="614"/>
      <c r="E340" s="614"/>
      <c r="F340" s="614"/>
      <c r="G340" s="614"/>
      <c r="H340" s="614"/>
      <c r="I340" s="614"/>
      <c r="J340" s="614"/>
      <c r="K340" s="615"/>
      <c r="L340" s="615"/>
      <c r="M340" s="615"/>
      <c r="N340" s="615"/>
      <c r="O340" s="615"/>
      <c r="P340" s="615"/>
      <c r="Q340" s="615"/>
      <c r="R340" s="615"/>
      <c r="S340" s="615"/>
      <c r="T340" s="615"/>
      <c r="U340" s="615"/>
      <c r="V340" s="615"/>
      <c r="W340" s="615"/>
      <c r="X340" s="615"/>
      <c r="Y340" s="615"/>
      <c r="Z340" s="615"/>
      <c r="AA340" s="615"/>
      <c r="AB340" s="615"/>
      <c r="AC340" s="615"/>
      <c r="AD340" s="615"/>
      <c r="AE340" s="615"/>
      <c r="AF340" s="615"/>
      <c r="AG340" s="615"/>
      <c r="AH340" s="615"/>
      <c r="AI340" s="615"/>
      <c r="AJ340" s="615"/>
      <c r="AK340" s="615"/>
      <c r="AL340" s="615"/>
    </row>
    <row r="341" spans="1:38" s="616" customFormat="1" ht="16.5" hidden="1" thickBot="1" x14ac:dyDescent="0.3">
      <c r="A341" s="611" t="s">
        <v>29</v>
      </c>
      <c r="B341" s="623" t="s">
        <v>389</v>
      </c>
      <c r="C341" s="613" t="s">
        <v>121</v>
      </c>
      <c r="D341" s="614">
        <f>'Pl 2014-17 PFC'!D328</f>
        <v>7384</v>
      </c>
      <c r="E341" s="614">
        <f>'Pl 2014-17 PFC'!E328</f>
        <v>1825</v>
      </c>
      <c r="F341" s="614">
        <f>'Pl 2014-17 PFC'!F328</f>
        <v>1825</v>
      </c>
      <c r="G341" s="614">
        <f>'Pl 2014-17 PFC'!G328</f>
        <v>1825</v>
      </c>
      <c r="H341" s="614">
        <f>'Pl 2014-17 PFC'!H328</f>
        <v>1825</v>
      </c>
      <c r="I341" s="614"/>
      <c r="J341" s="614"/>
      <c r="K341" s="615"/>
      <c r="L341" s="615"/>
      <c r="M341" s="615"/>
      <c r="N341" s="615"/>
      <c r="O341" s="615"/>
      <c r="P341" s="615"/>
      <c r="Q341" s="615"/>
      <c r="R341" s="615"/>
      <c r="S341" s="615"/>
      <c r="T341" s="615"/>
      <c r="U341" s="615"/>
      <c r="V341" s="615"/>
      <c r="W341" s="615"/>
      <c r="X341" s="615"/>
      <c r="Y341" s="615"/>
      <c r="Z341" s="615"/>
      <c r="AA341" s="615"/>
      <c r="AB341" s="615"/>
      <c r="AC341" s="615"/>
      <c r="AD341" s="615"/>
      <c r="AE341" s="615"/>
      <c r="AF341" s="615"/>
      <c r="AG341" s="615"/>
      <c r="AH341" s="615"/>
      <c r="AI341" s="615"/>
      <c r="AJ341" s="615"/>
      <c r="AK341" s="615"/>
      <c r="AL341" s="615"/>
    </row>
    <row r="342" spans="1:38" s="616" customFormat="1" ht="9.9499999999999993" hidden="1" customHeight="1" x14ac:dyDescent="0.25">
      <c r="A342" s="611"/>
      <c r="B342" s="622"/>
      <c r="C342" s="624"/>
      <c r="D342" s="625"/>
      <c r="E342" s="625"/>
      <c r="F342" s="625"/>
      <c r="G342" s="625"/>
      <c r="H342" s="625"/>
      <c r="I342" s="625"/>
      <c r="J342" s="625"/>
      <c r="K342" s="615"/>
      <c r="L342" s="615"/>
      <c r="M342" s="615"/>
      <c r="N342" s="615"/>
      <c r="O342" s="615"/>
      <c r="P342" s="615"/>
      <c r="Q342" s="615"/>
      <c r="R342" s="615"/>
      <c r="S342" s="615"/>
      <c r="T342" s="615"/>
      <c r="U342" s="615"/>
      <c r="V342" s="615"/>
      <c r="W342" s="615"/>
      <c r="X342" s="615"/>
      <c r="Y342" s="615"/>
      <c r="Z342" s="615"/>
      <c r="AA342" s="615"/>
      <c r="AB342" s="615"/>
      <c r="AC342" s="615"/>
      <c r="AD342" s="615"/>
      <c r="AE342" s="615"/>
      <c r="AF342" s="615"/>
      <c r="AG342" s="615"/>
      <c r="AH342" s="615"/>
      <c r="AI342" s="615"/>
      <c r="AJ342" s="615"/>
      <c r="AK342" s="615"/>
      <c r="AL342" s="615"/>
    </row>
    <row r="343" spans="1:38" s="616" customFormat="1" ht="16.5" hidden="1" thickBot="1" x14ac:dyDescent="0.3">
      <c r="A343" s="611" t="s">
        <v>31</v>
      </c>
      <c r="B343" s="612" t="s">
        <v>480</v>
      </c>
      <c r="C343" s="624" t="s">
        <v>87</v>
      </c>
      <c r="D343" s="614">
        <f>'Pl 2014-17 PFC'!D330</f>
        <v>109180</v>
      </c>
      <c r="E343" s="614">
        <f>'Pl 2014-17 PFC'!E330</f>
        <v>83581.149999999994</v>
      </c>
      <c r="F343" s="614">
        <f>'Pl 2014-17 PFC'!F330</f>
        <v>77702.149999999994</v>
      </c>
      <c r="G343" s="614">
        <f>'Pl 2014-17 PFC'!G330</f>
        <v>75246.5</v>
      </c>
      <c r="H343" s="614">
        <f>'Pl 2014-17 PFC'!H330</f>
        <v>75174</v>
      </c>
      <c r="I343" s="614"/>
      <c r="J343" s="614"/>
      <c r="K343" s="615"/>
      <c r="L343" s="615"/>
      <c r="M343" s="615"/>
      <c r="N343" s="615"/>
      <c r="O343" s="615"/>
      <c r="P343" s="615"/>
      <c r="Q343" s="615"/>
      <c r="R343" s="615"/>
      <c r="S343" s="615"/>
      <c r="T343" s="615"/>
      <c r="U343" s="615"/>
      <c r="V343" s="615"/>
      <c r="W343" s="615"/>
      <c r="X343" s="615"/>
      <c r="Y343" s="615"/>
      <c r="Z343" s="615"/>
      <c r="AA343" s="615"/>
      <c r="AB343" s="615"/>
      <c r="AC343" s="615"/>
      <c r="AD343" s="615"/>
      <c r="AE343" s="615"/>
      <c r="AF343" s="615"/>
      <c r="AG343" s="615"/>
      <c r="AH343" s="615"/>
      <c r="AI343" s="615"/>
      <c r="AJ343" s="615"/>
      <c r="AK343" s="615"/>
      <c r="AL343" s="615"/>
    </row>
    <row r="344" spans="1:38" s="628" customFormat="1" hidden="1" thickBot="1" x14ac:dyDescent="0.3">
      <c r="A344" s="626" t="s">
        <v>33</v>
      </c>
      <c r="B344" s="627" t="s">
        <v>123</v>
      </c>
      <c r="C344" s="613" t="s">
        <v>124</v>
      </c>
      <c r="D344" s="614">
        <f>'Pl 2014-17 PFC'!D331</f>
        <v>0</v>
      </c>
      <c r="E344" s="614">
        <f>'Pl 2014-17 PFC'!E331</f>
        <v>0</v>
      </c>
      <c r="F344" s="614">
        <f>'Pl 2014-17 PFC'!F331</f>
        <v>0</v>
      </c>
      <c r="G344" s="614">
        <f>'Pl 2014-17 PFC'!G331</f>
        <v>0</v>
      </c>
      <c r="H344" s="614">
        <f>'Pl 2014-17 PFC'!H331</f>
        <v>0</v>
      </c>
      <c r="I344" s="614"/>
      <c r="J344" s="614"/>
    </row>
    <row r="345" spans="1:38" s="628" customFormat="1" hidden="1" thickBot="1" x14ac:dyDescent="0.3">
      <c r="A345" s="626" t="s">
        <v>34</v>
      </c>
      <c r="B345" s="627" t="s">
        <v>125</v>
      </c>
      <c r="C345" s="613" t="s">
        <v>126</v>
      </c>
      <c r="D345" s="614">
        <f>'Pl 2014-17 PFC'!D332</f>
        <v>0</v>
      </c>
      <c r="E345" s="614">
        <f>'Pl 2014-17 PFC'!E332</f>
        <v>0</v>
      </c>
      <c r="F345" s="614">
        <f>'Pl 2014-17 PFC'!F332</f>
        <v>0</v>
      </c>
      <c r="G345" s="614">
        <f>'Pl 2014-17 PFC'!G332</f>
        <v>0</v>
      </c>
      <c r="H345" s="614">
        <f>'Pl 2014-17 PFC'!H332</f>
        <v>0</v>
      </c>
      <c r="I345" s="614"/>
      <c r="J345" s="614"/>
    </row>
    <row r="346" spans="1:38" s="628" customFormat="1" hidden="1" thickBot="1" x14ac:dyDescent="0.3">
      <c r="A346" s="626" t="s">
        <v>127</v>
      </c>
      <c r="B346" s="627" t="s">
        <v>128</v>
      </c>
      <c r="C346" s="613" t="s">
        <v>129</v>
      </c>
      <c r="D346" s="614">
        <f>'Pl 2014-17 PFC'!D333</f>
        <v>0</v>
      </c>
      <c r="E346" s="614">
        <f>'Pl 2014-17 PFC'!E333</f>
        <v>0</v>
      </c>
      <c r="F346" s="614">
        <f>'Pl 2014-17 PFC'!F333</f>
        <v>0</v>
      </c>
      <c r="G346" s="614">
        <f>'Pl 2014-17 PFC'!G333</f>
        <v>0</v>
      </c>
      <c r="H346" s="614">
        <f>'Pl 2014-17 PFC'!H333</f>
        <v>0</v>
      </c>
      <c r="I346" s="614"/>
      <c r="J346" s="614"/>
    </row>
    <row r="347" spans="1:38" s="628" customFormat="1" ht="16.5" hidden="1" thickBot="1" x14ac:dyDescent="0.3">
      <c r="A347" s="611" t="s">
        <v>33</v>
      </c>
      <c r="B347" s="612" t="s">
        <v>391</v>
      </c>
      <c r="C347" s="613" t="s">
        <v>132</v>
      </c>
      <c r="D347" s="614">
        <f>'Pl 2014-17 PFC'!D334</f>
        <v>17171</v>
      </c>
      <c r="E347" s="614">
        <f>'Pl 2014-17 PFC'!E334</f>
        <v>9938</v>
      </c>
      <c r="F347" s="614">
        <f>'Pl 2014-17 PFC'!F334</f>
        <v>9792</v>
      </c>
      <c r="G347" s="614">
        <f>'Pl 2014-17 PFC'!G334</f>
        <v>9756</v>
      </c>
      <c r="H347" s="614">
        <f>'Pl 2014-17 PFC'!H334</f>
        <v>9733</v>
      </c>
      <c r="I347" s="614"/>
      <c r="J347" s="614"/>
    </row>
    <row r="348" spans="1:38" s="628" customFormat="1" hidden="1" thickBot="1" x14ac:dyDescent="0.3">
      <c r="A348" s="626" t="s">
        <v>133</v>
      </c>
      <c r="B348" s="627" t="s">
        <v>134</v>
      </c>
      <c r="C348" s="613" t="s">
        <v>135</v>
      </c>
      <c r="D348" s="614">
        <f>'Pl 2014-17 PFC'!D335</f>
        <v>0</v>
      </c>
      <c r="E348" s="614">
        <f>'Pl 2014-17 PFC'!E335</f>
        <v>0</v>
      </c>
      <c r="F348" s="614">
        <f>'Pl 2014-17 PFC'!F335</f>
        <v>0</v>
      </c>
      <c r="G348" s="614">
        <f>'Pl 2014-17 PFC'!G335</f>
        <v>0</v>
      </c>
      <c r="H348" s="614">
        <f>'Pl 2014-17 PFC'!H335</f>
        <v>0</v>
      </c>
      <c r="I348" s="614"/>
      <c r="J348" s="614"/>
    </row>
    <row r="349" spans="1:38" s="628" customFormat="1" hidden="1" thickBot="1" x14ac:dyDescent="0.3">
      <c r="A349" s="626" t="s">
        <v>133</v>
      </c>
      <c r="B349" s="627" t="s">
        <v>137</v>
      </c>
      <c r="C349" s="613" t="s">
        <v>138</v>
      </c>
      <c r="D349" s="614">
        <f>'Pl 2014-17 PFC'!D336</f>
        <v>92009</v>
      </c>
      <c r="E349" s="614">
        <f>'Pl 2014-17 PFC'!E336</f>
        <v>73643.149999999994</v>
      </c>
      <c r="F349" s="614">
        <f>'Pl 2014-17 PFC'!F336</f>
        <v>67910.149999999994</v>
      </c>
      <c r="G349" s="614">
        <f>'Pl 2014-17 PFC'!G336</f>
        <v>65490.5</v>
      </c>
      <c r="H349" s="614">
        <f>'Pl 2014-17 PFC'!H336</f>
        <v>65441</v>
      </c>
      <c r="I349" s="614"/>
      <c r="J349" s="614"/>
    </row>
    <row r="350" spans="1:38" s="628" customFormat="1" hidden="1" thickBot="1" x14ac:dyDescent="0.3">
      <c r="A350" s="626" t="s">
        <v>136</v>
      </c>
      <c r="B350" s="627" t="s">
        <v>140</v>
      </c>
      <c r="C350" s="613" t="s">
        <v>392</v>
      </c>
      <c r="D350" s="614">
        <f>'Pl 2014-17 PFC'!D337</f>
        <v>0</v>
      </c>
      <c r="E350" s="614">
        <f>'Pl 2014-17 PFC'!E337</f>
        <v>0</v>
      </c>
      <c r="F350" s="614">
        <f>'Pl 2014-17 PFC'!F337</f>
        <v>0</v>
      </c>
      <c r="G350" s="614">
        <f>'Pl 2014-17 PFC'!G337</f>
        <v>0</v>
      </c>
      <c r="H350" s="614">
        <f>'Pl 2014-17 PFC'!H337</f>
        <v>0</v>
      </c>
      <c r="I350" s="614"/>
      <c r="J350" s="614"/>
    </row>
    <row r="351" spans="1:38" s="628" customFormat="1" hidden="1" thickBot="1" x14ac:dyDescent="0.3">
      <c r="A351" s="626" t="s">
        <v>139</v>
      </c>
      <c r="B351" s="627" t="s">
        <v>143</v>
      </c>
      <c r="C351" s="613" t="s">
        <v>144</v>
      </c>
      <c r="D351" s="614">
        <f>'Pl 2014-17 PFC'!D338</f>
        <v>0</v>
      </c>
      <c r="E351" s="614">
        <f>'Pl 2014-17 PFC'!E338</f>
        <v>0</v>
      </c>
      <c r="F351" s="614">
        <f>'Pl 2014-17 PFC'!F338</f>
        <v>0</v>
      </c>
      <c r="G351" s="614">
        <f>'Pl 2014-17 PFC'!G338</f>
        <v>0</v>
      </c>
      <c r="H351" s="614">
        <f>'Pl 2014-17 PFC'!H338</f>
        <v>0</v>
      </c>
      <c r="I351" s="614"/>
      <c r="J351" s="614"/>
    </row>
    <row r="352" spans="1:38" s="608" customFormat="1" ht="12" hidden="1" thickBot="1" x14ac:dyDescent="0.25">
      <c r="A352" s="629"/>
      <c r="B352" s="630"/>
      <c r="C352" s="631"/>
      <c r="D352" s="632"/>
      <c r="E352" s="632"/>
      <c r="F352" s="632"/>
      <c r="G352" s="632"/>
      <c r="H352" s="632"/>
      <c r="I352" s="632"/>
      <c r="J352" s="632"/>
    </row>
    <row r="353" spans="1:38" s="602" customFormat="1" ht="16.5" hidden="1" thickBot="1" x14ac:dyDescent="0.3">
      <c r="A353" s="597" t="s">
        <v>108</v>
      </c>
      <c r="B353" s="598" t="s">
        <v>333</v>
      </c>
      <c r="C353" s="599" t="s">
        <v>87</v>
      </c>
      <c r="D353" s="600">
        <f>SUM(D355,D415,D434,D460,D503,D551,D561)</f>
        <v>4625951</v>
      </c>
      <c r="E353" s="600">
        <f>SUM(E355,E415,E434,E460,E503,E551,E561)</f>
        <v>4796952</v>
      </c>
      <c r="F353" s="600">
        <f>SUM(F355,F415,F434,F460,F503,F551,F561)</f>
        <v>4792773</v>
      </c>
      <c r="G353" s="600">
        <f>SUM(G355,G415,G434,G460,G503,G551,G561)</f>
        <v>4901303</v>
      </c>
      <c r="H353" s="600">
        <f>SUM(H355,H415,H434,H460,H503,H551,H561)</f>
        <v>5046490</v>
      </c>
      <c r="I353" s="600"/>
      <c r="J353" s="600"/>
      <c r="K353" s="601"/>
      <c r="L353" s="601"/>
      <c r="M353" s="601"/>
      <c r="N353" s="601"/>
      <c r="O353" s="601"/>
      <c r="P353" s="601"/>
      <c r="Q353" s="601"/>
      <c r="R353" s="601"/>
      <c r="S353" s="601"/>
      <c r="T353" s="601"/>
      <c r="U353" s="601"/>
      <c r="V353" s="601"/>
      <c r="W353" s="601"/>
      <c r="X353" s="601"/>
      <c r="Y353" s="601"/>
      <c r="Z353" s="601"/>
      <c r="AA353" s="601"/>
      <c r="AB353" s="601"/>
      <c r="AC353" s="601"/>
      <c r="AD353" s="601"/>
      <c r="AE353" s="601"/>
      <c r="AF353" s="601"/>
      <c r="AG353" s="601"/>
      <c r="AH353" s="601"/>
      <c r="AI353" s="601"/>
      <c r="AJ353" s="601"/>
      <c r="AK353" s="601"/>
      <c r="AL353" s="601"/>
    </row>
    <row r="354" spans="1:38" s="637" customFormat="1" ht="12.75" hidden="1" customHeight="1" x14ac:dyDescent="0.2">
      <c r="A354" s="633"/>
      <c r="B354" s="634"/>
      <c r="C354" s="635"/>
      <c r="D354" s="636"/>
      <c r="E354" s="636"/>
      <c r="F354" s="636"/>
      <c r="G354" s="636"/>
      <c r="H354" s="636"/>
      <c r="I354" s="636"/>
      <c r="J354" s="636"/>
      <c r="K354" s="608"/>
      <c r="L354" s="608"/>
      <c r="M354" s="608"/>
      <c r="N354" s="608"/>
      <c r="O354" s="608"/>
      <c r="P354" s="608"/>
      <c r="Q354" s="608"/>
      <c r="R354" s="608"/>
      <c r="S354" s="608"/>
      <c r="T354" s="608"/>
      <c r="U354" s="608"/>
      <c r="V354" s="608"/>
      <c r="W354" s="608"/>
      <c r="X354" s="608"/>
      <c r="Y354" s="608"/>
      <c r="Z354" s="608"/>
      <c r="AA354" s="608"/>
      <c r="AB354" s="608"/>
      <c r="AC354" s="608"/>
      <c r="AD354" s="608"/>
      <c r="AE354" s="608"/>
      <c r="AF354" s="608"/>
      <c r="AG354" s="608"/>
      <c r="AH354" s="608"/>
      <c r="AI354" s="608"/>
      <c r="AJ354" s="608"/>
      <c r="AK354" s="608"/>
      <c r="AL354" s="608"/>
    </row>
    <row r="355" spans="1:38" s="616" customFormat="1" ht="16.5" hidden="1" thickBot="1" x14ac:dyDescent="0.3">
      <c r="A355" s="611" t="s">
        <v>19</v>
      </c>
      <c r="B355" s="623" t="s">
        <v>147</v>
      </c>
      <c r="C355" s="613" t="s">
        <v>87</v>
      </c>
      <c r="D355" s="614">
        <f>'Pl 2014-17 PFC'!D342</f>
        <v>3521311</v>
      </c>
      <c r="E355" s="614">
        <f>'Pl 2014-17 PFC'!E342</f>
        <v>3556744</v>
      </c>
      <c r="F355" s="614">
        <f>'Pl 2014-17 PFC'!F342</f>
        <v>3443603</v>
      </c>
      <c r="G355" s="614">
        <f>'Pl 2014-17 PFC'!G342</f>
        <v>3485863</v>
      </c>
      <c r="H355" s="614">
        <f>'Pl 2014-17 PFC'!H342</f>
        <v>3530008</v>
      </c>
      <c r="I355" s="614"/>
      <c r="J355" s="614"/>
      <c r="K355" s="615"/>
      <c r="L355" s="615"/>
      <c r="M355" s="615"/>
      <c r="N355" s="615"/>
      <c r="O355" s="615"/>
      <c r="P355" s="615"/>
      <c r="Q355" s="615"/>
      <c r="R355" s="615"/>
      <c r="S355" s="615"/>
      <c r="T355" s="615"/>
      <c r="U355" s="615"/>
      <c r="V355" s="615"/>
      <c r="W355" s="615"/>
      <c r="X355" s="615"/>
      <c r="Y355" s="615"/>
      <c r="Z355" s="615"/>
      <c r="AA355" s="615"/>
      <c r="AB355" s="615"/>
      <c r="AC355" s="615"/>
      <c r="AD355" s="615"/>
      <c r="AE355" s="615"/>
      <c r="AF355" s="615"/>
      <c r="AG355" s="615"/>
      <c r="AH355" s="615"/>
      <c r="AI355" s="615"/>
      <c r="AJ355" s="615"/>
      <c r="AK355" s="615"/>
      <c r="AL355" s="615"/>
    </row>
    <row r="356" spans="1:38" s="638" customFormat="1" ht="16.5" hidden="1" thickBot="1" x14ac:dyDescent="0.3">
      <c r="A356" s="611" t="s">
        <v>21</v>
      </c>
      <c r="B356" s="623" t="s">
        <v>394</v>
      </c>
      <c r="C356" s="613" t="s">
        <v>87</v>
      </c>
      <c r="D356" s="614">
        <f>'Pl 2014-17 PFC'!D343</f>
        <v>137352</v>
      </c>
      <c r="E356" s="614">
        <f>'Pl 2014-17 PFC'!E343</f>
        <v>151240</v>
      </c>
      <c r="F356" s="614">
        <f>'Pl 2014-17 PFC'!F343</f>
        <v>240175</v>
      </c>
      <c r="G356" s="614">
        <f>'Pl 2014-17 PFC'!G343</f>
        <v>247097</v>
      </c>
      <c r="H356" s="614">
        <f>'Pl 2014-17 PFC'!H343</f>
        <v>255567</v>
      </c>
      <c r="I356" s="614"/>
      <c r="J356" s="614"/>
      <c r="K356" s="504"/>
      <c r="L356" s="504"/>
      <c r="M356" s="504"/>
      <c r="N356" s="504"/>
      <c r="O356" s="504"/>
      <c r="P356" s="504"/>
      <c r="Q356" s="504"/>
      <c r="R356" s="504"/>
      <c r="S356" s="504"/>
      <c r="T356" s="504"/>
      <c r="U356" s="504"/>
      <c r="V356" s="504"/>
      <c r="W356" s="504"/>
      <c r="X356" s="504"/>
      <c r="Y356" s="504"/>
      <c r="Z356" s="504"/>
      <c r="AA356" s="504"/>
      <c r="AB356" s="504"/>
      <c r="AC356" s="504"/>
      <c r="AD356" s="504"/>
      <c r="AE356" s="504"/>
      <c r="AF356" s="504"/>
      <c r="AG356" s="504"/>
      <c r="AH356" s="504"/>
      <c r="AI356" s="504"/>
      <c r="AJ356" s="504"/>
      <c r="AK356" s="504"/>
      <c r="AL356" s="504"/>
    </row>
    <row r="357" spans="1:38" s="638" customFormat="1" ht="16.5" hidden="1" thickBot="1" x14ac:dyDescent="0.3">
      <c r="A357" s="611" t="s">
        <v>149</v>
      </c>
      <c r="B357" s="623" t="s">
        <v>150</v>
      </c>
      <c r="C357" s="613" t="s">
        <v>151</v>
      </c>
      <c r="D357" s="614">
        <f>'Pl 2014-17 PFC'!D344</f>
        <v>126500</v>
      </c>
      <c r="E357" s="614">
        <f>'Pl 2014-17 PFC'!E344</f>
        <v>140477</v>
      </c>
      <c r="F357" s="614">
        <f>'Pl 2014-17 PFC'!F344</f>
        <v>239397</v>
      </c>
      <c r="G357" s="614">
        <f>'Pl 2014-17 PFC'!G344</f>
        <v>247097</v>
      </c>
      <c r="H357" s="614">
        <f>'Pl 2014-17 PFC'!H344</f>
        <v>255567</v>
      </c>
      <c r="I357" s="614"/>
      <c r="J357" s="614">
        <f>D357-115315</f>
        <v>11185</v>
      </c>
      <c r="K357" s="504"/>
      <c r="L357" s="504"/>
      <c r="M357" s="504"/>
      <c r="N357" s="504"/>
      <c r="O357" s="504"/>
      <c r="P357" s="504"/>
      <c r="Q357" s="504"/>
      <c r="R357" s="504"/>
      <c r="S357" s="504"/>
      <c r="T357" s="504"/>
      <c r="U357" s="504"/>
      <c r="V357" s="504"/>
      <c r="W357" s="504"/>
      <c r="X357" s="504"/>
      <c r="Y357" s="504"/>
      <c r="Z357" s="504"/>
      <c r="AA357" s="504"/>
      <c r="AB357" s="504"/>
      <c r="AC357" s="504"/>
      <c r="AD357" s="504"/>
      <c r="AE357" s="504"/>
      <c r="AF357" s="504"/>
      <c r="AG357" s="504"/>
      <c r="AH357" s="504"/>
      <c r="AI357" s="504"/>
      <c r="AJ357" s="504"/>
      <c r="AK357" s="504"/>
      <c r="AL357" s="504"/>
    </row>
    <row r="358" spans="1:38" s="638" customFormat="1" ht="16.5" hidden="1" thickBot="1" x14ac:dyDescent="0.3">
      <c r="A358" s="611" t="s">
        <v>152</v>
      </c>
      <c r="B358" s="623" t="s">
        <v>153</v>
      </c>
      <c r="C358" s="613" t="s">
        <v>154</v>
      </c>
      <c r="D358" s="614">
        <f>'Pl 2014-17 PFC'!D345</f>
        <v>10852</v>
      </c>
      <c r="E358" s="614">
        <f>'Pl 2014-17 PFC'!E345</f>
        <v>10763</v>
      </c>
      <c r="F358" s="614">
        <f>'Pl 2014-17 PFC'!F345</f>
        <v>778</v>
      </c>
      <c r="G358" s="614">
        <f>'Pl 2014-17 PFC'!G345</f>
        <v>0</v>
      </c>
      <c r="H358" s="614">
        <f>'Pl 2014-17 PFC'!H345</f>
        <v>0</v>
      </c>
      <c r="I358" s="614"/>
      <c r="J358" s="614"/>
      <c r="K358" s="504"/>
      <c r="L358" s="504"/>
      <c r="M358" s="504"/>
      <c r="N358" s="504"/>
      <c r="O358" s="504"/>
      <c r="P358" s="504"/>
      <c r="Q358" s="504"/>
      <c r="R358" s="504"/>
      <c r="S358" s="504"/>
      <c r="T358" s="504"/>
      <c r="U358" s="504"/>
      <c r="V358" s="504"/>
      <c r="W358" s="504"/>
      <c r="X358" s="504"/>
      <c r="Y358" s="504"/>
      <c r="Z358" s="504"/>
      <c r="AA358" s="504"/>
      <c r="AB358" s="504"/>
      <c r="AC358" s="504"/>
      <c r="AD358" s="504"/>
      <c r="AE358" s="504"/>
      <c r="AF358" s="504"/>
      <c r="AG358" s="504"/>
      <c r="AH358" s="504"/>
      <c r="AI358" s="504"/>
      <c r="AJ358" s="504"/>
      <c r="AK358" s="504"/>
      <c r="AL358" s="504"/>
    </row>
    <row r="359" spans="1:38" s="638" customFormat="1" ht="16.5" hidden="1" thickBot="1" x14ac:dyDescent="0.3">
      <c r="A359" s="611"/>
      <c r="B359" s="623" t="s">
        <v>397</v>
      </c>
      <c r="C359" s="613" t="s">
        <v>154</v>
      </c>
      <c r="D359" s="614">
        <f>'Pl 2014-17 PFC'!D346</f>
        <v>10852</v>
      </c>
      <c r="E359" s="614">
        <f>'Pl 2014-17 PFC'!E346</f>
        <v>10763</v>
      </c>
      <c r="F359" s="614">
        <f>'Pl 2014-17 PFC'!F346</f>
        <v>778</v>
      </c>
      <c r="G359" s="614">
        <f>'Pl 2014-17 PFC'!G346</f>
        <v>0</v>
      </c>
      <c r="H359" s="614">
        <f>'Pl 2014-17 PFC'!H346</f>
        <v>0</v>
      </c>
      <c r="I359" s="614"/>
      <c r="J359" s="614"/>
      <c r="K359" s="504"/>
      <c r="L359" s="504"/>
      <c r="M359" s="504"/>
      <c r="N359" s="504"/>
      <c r="O359" s="504"/>
      <c r="P359" s="504"/>
      <c r="Q359" s="504"/>
      <c r="R359" s="504"/>
      <c r="S359" s="504"/>
      <c r="T359" s="504"/>
      <c r="U359" s="504"/>
      <c r="V359" s="504"/>
      <c r="W359" s="504"/>
      <c r="X359" s="504"/>
      <c r="Y359" s="504"/>
      <c r="Z359" s="504"/>
      <c r="AA359" s="504"/>
      <c r="AB359" s="504"/>
      <c r="AC359" s="504"/>
      <c r="AD359" s="504"/>
      <c r="AE359" s="504"/>
      <c r="AF359" s="504"/>
      <c r="AG359" s="504"/>
      <c r="AH359" s="504"/>
      <c r="AI359" s="504"/>
      <c r="AJ359" s="504"/>
      <c r="AK359" s="504"/>
      <c r="AL359" s="504"/>
    </row>
    <row r="360" spans="1:38" s="638" customFormat="1" ht="16.5" hidden="1" thickBot="1" x14ac:dyDescent="0.3">
      <c r="A360" s="611"/>
      <c r="B360" s="623" t="s">
        <v>398</v>
      </c>
      <c r="C360" s="613" t="s">
        <v>151</v>
      </c>
      <c r="D360" s="614">
        <f>'Pl 2014-17 PFC'!D347</f>
        <v>1300</v>
      </c>
      <c r="E360" s="614">
        <f>'Pl 2014-17 PFC'!E347</f>
        <v>1500</v>
      </c>
      <c r="F360" s="614">
        <f>'Pl 2014-17 PFC'!F347</f>
        <v>4500</v>
      </c>
      <c r="G360" s="614">
        <f>'Pl 2014-17 PFC'!G347</f>
        <v>4500</v>
      </c>
      <c r="H360" s="614">
        <f>'Pl 2014-17 PFC'!H347</f>
        <v>4500</v>
      </c>
      <c r="I360" s="614"/>
      <c r="J360" s="614"/>
      <c r="K360" s="504"/>
      <c r="L360" s="504"/>
      <c r="M360" s="504"/>
      <c r="N360" s="504"/>
      <c r="O360" s="504"/>
      <c r="P360" s="504"/>
      <c r="Q360" s="504"/>
      <c r="R360" s="504"/>
      <c r="S360" s="504"/>
      <c r="T360" s="504"/>
      <c r="U360" s="504"/>
      <c r="V360" s="504"/>
      <c r="W360" s="504"/>
      <c r="X360" s="504"/>
      <c r="Y360" s="504"/>
      <c r="Z360" s="504"/>
      <c r="AA360" s="504"/>
      <c r="AB360" s="504"/>
      <c r="AC360" s="504"/>
      <c r="AD360" s="504"/>
      <c r="AE360" s="504"/>
      <c r="AF360" s="504"/>
      <c r="AG360" s="504"/>
      <c r="AH360" s="504"/>
      <c r="AI360" s="504"/>
      <c r="AJ360" s="504"/>
      <c r="AK360" s="504"/>
      <c r="AL360" s="504"/>
    </row>
    <row r="361" spans="1:38" s="638" customFormat="1" ht="48" hidden="1" thickBot="1" x14ac:dyDescent="0.3">
      <c r="A361" s="611"/>
      <c r="B361" s="623" t="s">
        <v>399</v>
      </c>
      <c r="C361" s="613" t="s">
        <v>151</v>
      </c>
      <c r="D361" s="614">
        <f>'Pl 2014-17 PFC'!D348</f>
        <v>50000</v>
      </c>
      <c r="E361" s="614">
        <f>'Pl 2014-17 PFC'!E348</f>
        <v>55000</v>
      </c>
      <c r="F361" s="614">
        <f>'Pl 2014-17 PFC'!F348</f>
        <v>55000</v>
      </c>
      <c r="G361" s="614">
        <f>'Pl 2014-17 PFC'!G348</f>
        <v>55000</v>
      </c>
      <c r="H361" s="614">
        <f>'Pl 2014-17 PFC'!H348</f>
        <v>55000</v>
      </c>
      <c r="I361" s="614"/>
      <c r="J361" s="614"/>
      <c r="K361" s="504"/>
      <c r="L361" s="504"/>
      <c r="M361" s="504"/>
      <c r="N361" s="504"/>
      <c r="O361" s="504"/>
      <c r="P361" s="504"/>
      <c r="Q361" s="504"/>
      <c r="R361" s="504"/>
      <c r="S361" s="504"/>
      <c r="T361" s="504"/>
      <c r="U361" s="504"/>
      <c r="V361" s="504"/>
      <c r="W361" s="504"/>
      <c r="X361" s="504"/>
      <c r="Y361" s="504"/>
      <c r="Z361" s="504"/>
      <c r="AA361" s="504"/>
      <c r="AB361" s="504"/>
      <c r="AC361" s="504"/>
      <c r="AD361" s="504"/>
      <c r="AE361" s="504"/>
      <c r="AF361" s="504"/>
      <c r="AG361" s="504"/>
      <c r="AH361" s="504"/>
      <c r="AI361" s="504"/>
      <c r="AJ361" s="504"/>
      <c r="AK361" s="504"/>
      <c r="AL361" s="504"/>
    </row>
    <row r="362" spans="1:38" s="616" customFormat="1" ht="16.5" hidden="1" thickBot="1" x14ac:dyDescent="0.3">
      <c r="A362" s="611"/>
      <c r="B362" s="623" t="s">
        <v>400</v>
      </c>
      <c r="C362" s="613" t="s">
        <v>151</v>
      </c>
      <c r="D362" s="614">
        <f>'Pl 2014-17 PFC'!D349</f>
        <v>1200</v>
      </c>
      <c r="E362" s="614">
        <f>'Pl 2014-17 PFC'!E349</f>
        <v>2000</v>
      </c>
      <c r="F362" s="614">
        <f>'Pl 2014-17 PFC'!F349</f>
        <v>2000</v>
      </c>
      <c r="G362" s="614">
        <f>'Pl 2014-17 PFC'!G349</f>
        <v>2000</v>
      </c>
      <c r="H362" s="614">
        <f>'Pl 2014-17 PFC'!H349</f>
        <v>2000</v>
      </c>
      <c r="I362" s="614"/>
      <c r="J362" s="614"/>
      <c r="K362" s="615"/>
      <c r="L362" s="615"/>
      <c r="M362" s="615"/>
      <c r="N362" s="615"/>
      <c r="O362" s="615"/>
      <c r="P362" s="615"/>
      <c r="Q362" s="615"/>
      <c r="R362" s="615"/>
      <c r="S362" s="615"/>
      <c r="T362" s="615"/>
      <c r="U362" s="615"/>
      <c r="V362" s="615"/>
      <c r="W362" s="615"/>
      <c r="X362" s="615"/>
      <c r="Y362" s="615"/>
      <c r="Z362" s="615"/>
      <c r="AA362" s="615"/>
      <c r="AB362" s="615"/>
      <c r="AC362" s="615"/>
      <c r="AD362" s="615"/>
      <c r="AE362" s="615"/>
      <c r="AF362" s="615"/>
      <c r="AG362" s="615"/>
      <c r="AH362" s="615"/>
      <c r="AI362" s="615"/>
      <c r="AJ362" s="615"/>
      <c r="AK362" s="615"/>
      <c r="AL362" s="615"/>
    </row>
    <row r="363" spans="1:38" s="616" customFormat="1" ht="16.5" hidden="1" thickBot="1" x14ac:dyDescent="0.3">
      <c r="A363" s="611"/>
      <c r="B363" s="623" t="s">
        <v>401</v>
      </c>
      <c r="C363" s="613" t="s">
        <v>151</v>
      </c>
      <c r="D363" s="614">
        <f>'Pl 2014-17 PFC'!D350</f>
        <v>200</v>
      </c>
      <c r="E363" s="614">
        <f>'Pl 2014-17 PFC'!E350</f>
        <v>300</v>
      </c>
      <c r="F363" s="614">
        <f>'Pl 2014-17 PFC'!F350</f>
        <v>300</v>
      </c>
      <c r="G363" s="614">
        <f>'Pl 2014-17 PFC'!G350</f>
        <v>300</v>
      </c>
      <c r="H363" s="614">
        <f>'Pl 2014-17 PFC'!H350</f>
        <v>300</v>
      </c>
      <c r="I363" s="614"/>
      <c r="J363" s="614"/>
      <c r="K363" s="615"/>
      <c r="L363" s="615"/>
      <c r="M363" s="615"/>
      <c r="N363" s="615"/>
      <c r="O363" s="615"/>
      <c r="P363" s="615"/>
      <c r="Q363" s="615"/>
      <c r="R363" s="615"/>
      <c r="S363" s="615"/>
      <c r="T363" s="615"/>
      <c r="U363" s="615"/>
      <c r="V363" s="615"/>
      <c r="W363" s="615"/>
      <c r="X363" s="615"/>
      <c r="Y363" s="615"/>
      <c r="Z363" s="615"/>
      <c r="AA363" s="615"/>
      <c r="AB363" s="615"/>
      <c r="AC363" s="615"/>
      <c r="AD363" s="615"/>
      <c r="AE363" s="615"/>
      <c r="AF363" s="615"/>
      <c r="AG363" s="615"/>
      <c r="AH363" s="615"/>
      <c r="AI363" s="615"/>
      <c r="AJ363" s="615"/>
      <c r="AK363" s="615"/>
      <c r="AL363" s="615"/>
    </row>
    <row r="364" spans="1:38" s="616" customFormat="1" ht="32.25" hidden="1" thickBot="1" x14ac:dyDescent="0.3">
      <c r="A364" s="611"/>
      <c r="B364" s="623" t="s">
        <v>402</v>
      </c>
      <c r="C364" s="613" t="s">
        <v>151</v>
      </c>
      <c r="D364" s="614">
        <f>'Pl 2014-17 PFC'!D351</f>
        <v>73800</v>
      </c>
      <c r="E364" s="614">
        <f>'Pl 2014-17 PFC'!E351</f>
        <v>81677</v>
      </c>
      <c r="F364" s="614">
        <f>'Pl 2014-17 PFC'!F351</f>
        <v>177597</v>
      </c>
      <c r="G364" s="614">
        <f>'Pl 2014-17 PFC'!G351</f>
        <v>185297</v>
      </c>
      <c r="H364" s="614">
        <f>'Pl 2014-17 PFC'!H351</f>
        <v>193767</v>
      </c>
      <c r="I364" s="614"/>
      <c r="J364" s="614"/>
      <c r="K364" s="615"/>
      <c r="L364" s="615"/>
      <c r="M364" s="615"/>
      <c r="N364" s="615"/>
      <c r="O364" s="615"/>
      <c r="P364" s="615"/>
      <c r="Q364" s="615"/>
      <c r="R364" s="615"/>
      <c r="S364" s="615"/>
      <c r="T364" s="615"/>
      <c r="U364" s="615"/>
      <c r="V364" s="615"/>
      <c r="W364" s="615"/>
      <c r="X364" s="615"/>
      <c r="Y364" s="615"/>
      <c r="Z364" s="615"/>
      <c r="AA364" s="615"/>
      <c r="AB364" s="615"/>
      <c r="AC364" s="615"/>
      <c r="AD364" s="615"/>
      <c r="AE364" s="615"/>
      <c r="AF364" s="615"/>
      <c r="AG364" s="615"/>
      <c r="AH364" s="615"/>
      <c r="AI364" s="615"/>
      <c r="AJ364" s="615"/>
      <c r="AK364" s="615"/>
      <c r="AL364" s="615"/>
    </row>
    <row r="365" spans="1:38" s="616" customFormat="1" ht="16.5" hidden="1" thickBot="1" x14ac:dyDescent="0.3">
      <c r="A365" s="611"/>
      <c r="B365" s="623" t="s">
        <v>303</v>
      </c>
      <c r="C365" s="613"/>
      <c r="D365" s="614">
        <f>'Pl 2014-17 PFC'!D352</f>
        <v>0</v>
      </c>
      <c r="E365" s="614">
        <f>'Pl 2014-17 PFC'!E352</f>
        <v>0</v>
      </c>
      <c r="F365" s="614">
        <f>'Pl 2014-17 PFC'!F352</f>
        <v>0</v>
      </c>
      <c r="G365" s="614">
        <f>'Pl 2014-17 PFC'!G352</f>
        <v>0</v>
      </c>
      <c r="H365" s="614">
        <f>'Pl 2014-17 PFC'!H352</f>
        <v>0</v>
      </c>
      <c r="I365" s="614"/>
      <c r="J365" s="614"/>
      <c r="K365" s="615"/>
      <c r="L365" s="615"/>
      <c r="M365" s="615"/>
      <c r="N365" s="615"/>
      <c r="O365" s="615"/>
      <c r="P365" s="615"/>
      <c r="Q365" s="615"/>
      <c r="R365" s="615"/>
      <c r="S365" s="615"/>
      <c r="T365" s="615"/>
      <c r="U365" s="615"/>
      <c r="V365" s="615"/>
      <c r="W365" s="615"/>
      <c r="X365" s="615"/>
      <c r="Y365" s="615"/>
      <c r="Z365" s="615"/>
      <c r="AA365" s="615"/>
      <c r="AB365" s="615"/>
      <c r="AC365" s="615"/>
      <c r="AD365" s="615"/>
      <c r="AE365" s="615"/>
      <c r="AF365" s="615"/>
      <c r="AG365" s="615"/>
      <c r="AH365" s="615"/>
      <c r="AI365" s="615"/>
      <c r="AJ365" s="615"/>
      <c r="AK365" s="615"/>
      <c r="AL365" s="615"/>
    </row>
    <row r="366" spans="1:38" s="616" customFormat="1" ht="16.5" hidden="1" thickBot="1" x14ac:dyDescent="0.3">
      <c r="A366" s="611"/>
      <c r="B366" s="623" t="s">
        <v>162</v>
      </c>
      <c r="C366" s="613"/>
      <c r="D366" s="614">
        <f>'Pl 2014-17 PFC'!D353</f>
        <v>3826</v>
      </c>
      <c r="E366" s="614">
        <f>'Pl 2014-17 PFC'!E353</f>
        <v>5000</v>
      </c>
      <c r="F366" s="614">
        <f>'Pl 2014-17 PFC'!F353</f>
        <v>5000</v>
      </c>
      <c r="G366" s="614">
        <f>'Pl 2014-17 PFC'!G353</f>
        <v>5000</v>
      </c>
      <c r="H366" s="614">
        <f>'Pl 2014-17 PFC'!H353</f>
        <v>5000</v>
      </c>
      <c r="I366" s="614"/>
      <c r="J366" s="614"/>
      <c r="K366" s="615"/>
      <c r="L366" s="615"/>
      <c r="M366" s="615"/>
      <c r="N366" s="615"/>
      <c r="O366" s="615"/>
      <c r="P366" s="615"/>
      <c r="Q366" s="615"/>
      <c r="R366" s="615"/>
      <c r="S366" s="615"/>
      <c r="T366" s="615"/>
      <c r="U366" s="615"/>
      <c r="V366" s="615"/>
      <c r="W366" s="615"/>
      <c r="X366" s="615"/>
      <c r="Y366" s="615"/>
      <c r="Z366" s="615"/>
      <c r="AA366" s="615"/>
      <c r="AB366" s="615"/>
      <c r="AC366" s="615"/>
      <c r="AD366" s="615"/>
      <c r="AE366" s="615"/>
      <c r="AF366" s="615"/>
      <c r="AG366" s="615"/>
      <c r="AH366" s="615"/>
      <c r="AI366" s="615"/>
      <c r="AJ366" s="615"/>
      <c r="AK366" s="615"/>
      <c r="AL366" s="615"/>
    </row>
    <row r="367" spans="1:38" s="616" customFormat="1" ht="16.5" hidden="1" thickBot="1" x14ac:dyDescent="0.3">
      <c r="A367" s="611"/>
      <c r="B367" s="623" t="s">
        <v>403</v>
      </c>
      <c r="C367" s="613"/>
      <c r="D367" s="614">
        <f>'Pl 2014-17 PFC'!D354</f>
        <v>0</v>
      </c>
      <c r="E367" s="614">
        <f>'Pl 2014-17 PFC'!E354</f>
        <v>0</v>
      </c>
      <c r="F367" s="614">
        <f>'Pl 2014-17 PFC'!F354</f>
        <v>0</v>
      </c>
      <c r="G367" s="614">
        <f>'Pl 2014-17 PFC'!G354</f>
        <v>0</v>
      </c>
      <c r="H367" s="614">
        <f>'Pl 2014-17 PFC'!H354</f>
        <v>0</v>
      </c>
      <c r="I367" s="614"/>
      <c r="J367" s="614"/>
      <c r="K367" s="615"/>
      <c r="L367" s="615"/>
      <c r="M367" s="615"/>
      <c r="N367" s="615"/>
      <c r="O367" s="615"/>
      <c r="P367" s="615"/>
      <c r="Q367" s="615"/>
      <c r="R367" s="615"/>
      <c r="S367" s="615"/>
      <c r="T367" s="615"/>
      <c r="U367" s="615"/>
      <c r="V367" s="615"/>
      <c r="W367" s="615"/>
      <c r="X367" s="615"/>
      <c r="Y367" s="615"/>
      <c r="Z367" s="615"/>
      <c r="AA367" s="615"/>
      <c r="AB367" s="615"/>
      <c r="AC367" s="615"/>
      <c r="AD367" s="615"/>
      <c r="AE367" s="615"/>
      <c r="AF367" s="615"/>
      <c r="AG367" s="615"/>
      <c r="AH367" s="615"/>
      <c r="AI367" s="615"/>
      <c r="AJ367" s="615"/>
      <c r="AK367" s="615"/>
      <c r="AL367" s="615"/>
    </row>
    <row r="368" spans="1:38" s="616" customFormat="1" ht="16.5" hidden="1" thickBot="1" x14ac:dyDescent="0.3">
      <c r="A368" s="611"/>
      <c r="B368" s="623" t="s">
        <v>164</v>
      </c>
      <c r="C368" s="613"/>
      <c r="D368" s="614">
        <f>'Pl 2014-17 PFC'!D355</f>
        <v>0</v>
      </c>
      <c r="E368" s="614">
        <f>'Pl 2014-17 PFC'!E355</f>
        <v>0</v>
      </c>
      <c r="F368" s="614">
        <f>'Pl 2014-17 PFC'!F355</f>
        <v>0</v>
      </c>
      <c r="G368" s="614">
        <f>'Pl 2014-17 PFC'!G355</f>
        <v>0</v>
      </c>
      <c r="H368" s="614">
        <f>'Pl 2014-17 PFC'!H355</f>
        <v>0</v>
      </c>
      <c r="I368" s="614"/>
      <c r="J368" s="614"/>
      <c r="K368" s="615"/>
      <c r="L368" s="615"/>
      <c r="M368" s="615"/>
      <c r="N368" s="615"/>
      <c r="O368" s="615"/>
      <c r="P368" s="615"/>
      <c r="Q368" s="615"/>
      <c r="R368" s="615"/>
      <c r="S368" s="615"/>
      <c r="T368" s="615"/>
      <c r="U368" s="615"/>
      <c r="V368" s="615"/>
      <c r="W368" s="615"/>
      <c r="X368" s="615"/>
      <c r="Y368" s="615"/>
      <c r="Z368" s="615"/>
      <c r="AA368" s="615"/>
      <c r="AB368" s="615"/>
      <c r="AC368" s="615"/>
      <c r="AD368" s="615"/>
      <c r="AE368" s="615"/>
      <c r="AF368" s="615"/>
      <c r="AG368" s="615"/>
      <c r="AH368" s="615"/>
      <c r="AI368" s="615"/>
      <c r="AJ368" s="615"/>
      <c r="AK368" s="615"/>
      <c r="AL368" s="615"/>
    </row>
    <row r="369" spans="1:38" s="616" customFormat="1" ht="16.5" hidden="1" thickBot="1" x14ac:dyDescent="0.3">
      <c r="A369" s="611"/>
      <c r="B369" s="623" t="s">
        <v>404</v>
      </c>
      <c r="C369" s="613"/>
      <c r="D369" s="614">
        <f>'Pl 2014-17 PFC'!D356</f>
        <v>0</v>
      </c>
      <c r="E369" s="614">
        <f>'Pl 2014-17 PFC'!E356</f>
        <v>0</v>
      </c>
      <c r="F369" s="614">
        <f>'Pl 2014-17 PFC'!F356</f>
        <v>0</v>
      </c>
      <c r="G369" s="614">
        <f>'Pl 2014-17 PFC'!G356</f>
        <v>0</v>
      </c>
      <c r="H369" s="614">
        <f>'Pl 2014-17 PFC'!H356</f>
        <v>0</v>
      </c>
      <c r="I369" s="614"/>
      <c r="J369" s="614"/>
      <c r="K369" s="615"/>
      <c r="L369" s="615"/>
      <c r="M369" s="615"/>
      <c r="N369" s="615"/>
      <c r="O369" s="615"/>
      <c r="P369" s="615"/>
      <c r="Q369" s="615"/>
      <c r="R369" s="615"/>
      <c r="S369" s="615"/>
      <c r="T369" s="615"/>
      <c r="U369" s="615"/>
      <c r="V369" s="615"/>
      <c r="W369" s="615"/>
      <c r="X369" s="615"/>
      <c r="Y369" s="615"/>
      <c r="Z369" s="615"/>
      <c r="AA369" s="615"/>
      <c r="AB369" s="615"/>
      <c r="AC369" s="615"/>
      <c r="AD369" s="615"/>
      <c r="AE369" s="615"/>
      <c r="AF369" s="615"/>
      <c r="AG369" s="615"/>
      <c r="AH369" s="615"/>
      <c r="AI369" s="615"/>
      <c r="AJ369" s="615"/>
      <c r="AK369" s="615"/>
      <c r="AL369" s="615"/>
    </row>
    <row r="370" spans="1:38" s="616" customFormat="1" ht="16.5" hidden="1" thickBot="1" x14ac:dyDescent="0.3">
      <c r="A370" s="611"/>
      <c r="B370" s="623" t="s">
        <v>166</v>
      </c>
      <c r="C370" s="613"/>
      <c r="D370" s="614">
        <f>'Pl 2014-17 PFC'!D357</f>
        <v>0</v>
      </c>
      <c r="E370" s="614">
        <f>'Pl 2014-17 PFC'!E357</f>
        <v>0</v>
      </c>
      <c r="F370" s="614">
        <f>'Pl 2014-17 PFC'!F357</f>
        <v>0</v>
      </c>
      <c r="G370" s="614">
        <f>'Pl 2014-17 PFC'!G357</f>
        <v>0</v>
      </c>
      <c r="H370" s="614">
        <f>'Pl 2014-17 PFC'!H357</f>
        <v>0</v>
      </c>
      <c r="I370" s="614"/>
      <c r="J370" s="614"/>
      <c r="K370" s="615"/>
      <c r="L370" s="615"/>
      <c r="M370" s="615"/>
      <c r="N370" s="615"/>
      <c r="O370" s="615"/>
      <c r="P370" s="615"/>
      <c r="Q370" s="615"/>
      <c r="R370" s="615"/>
      <c r="S370" s="615"/>
      <c r="T370" s="615"/>
      <c r="U370" s="615"/>
      <c r="V370" s="615"/>
      <c r="W370" s="615"/>
      <c r="X370" s="615"/>
      <c r="Y370" s="615"/>
      <c r="Z370" s="615"/>
      <c r="AA370" s="615"/>
      <c r="AB370" s="615"/>
      <c r="AC370" s="615"/>
      <c r="AD370" s="615"/>
      <c r="AE370" s="615"/>
      <c r="AF370" s="615"/>
      <c r="AG370" s="615"/>
      <c r="AH370" s="615"/>
      <c r="AI370" s="615"/>
      <c r="AJ370" s="615"/>
      <c r="AK370" s="615"/>
      <c r="AL370" s="615"/>
    </row>
    <row r="371" spans="1:38" s="616" customFormat="1" ht="16.5" hidden="1" thickBot="1" x14ac:dyDescent="0.3">
      <c r="A371" s="611"/>
      <c r="B371" s="623" t="s">
        <v>167</v>
      </c>
      <c r="C371" s="613"/>
      <c r="D371" s="614">
        <f>'Pl 2014-17 PFC'!D358</f>
        <v>0</v>
      </c>
      <c r="E371" s="614">
        <f>'Pl 2014-17 PFC'!E358</f>
        <v>0</v>
      </c>
      <c r="F371" s="614">
        <f>'Pl 2014-17 PFC'!F358</f>
        <v>0</v>
      </c>
      <c r="G371" s="614">
        <f>'Pl 2014-17 PFC'!G358</f>
        <v>0</v>
      </c>
      <c r="H371" s="614">
        <f>'Pl 2014-17 PFC'!H358</f>
        <v>0</v>
      </c>
      <c r="I371" s="614"/>
      <c r="J371" s="614"/>
      <c r="K371" s="615"/>
      <c r="L371" s="615"/>
      <c r="M371" s="615"/>
      <c r="N371" s="615"/>
      <c r="O371" s="615"/>
      <c r="P371" s="615"/>
      <c r="Q371" s="615"/>
      <c r="R371" s="615"/>
      <c r="S371" s="615"/>
      <c r="T371" s="615"/>
      <c r="U371" s="615"/>
      <c r="V371" s="615"/>
      <c r="W371" s="615"/>
      <c r="X371" s="615"/>
      <c r="Y371" s="615"/>
      <c r="Z371" s="615"/>
      <c r="AA371" s="615"/>
      <c r="AB371" s="615"/>
      <c r="AC371" s="615"/>
      <c r="AD371" s="615"/>
      <c r="AE371" s="615"/>
      <c r="AF371" s="615"/>
      <c r="AG371" s="615"/>
      <c r="AH371" s="615"/>
      <c r="AI371" s="615"/>
      <c r="AJ371" s="615"/>
      <c r="AK371" s="615"/>
      <c r="AL371" s="615"/>
    </row>
    <row r="372" spans="1:38" s="616" customFormat="1" ht="16.5" hidden="1" thickBot="1" x14ac:dyDescent="0.3">
      <c r="A372" s="611"/>
      <c r="B372" s="623" t="s">
        <v>168</v>
      </c>
      <c r="C372" s="613"/>
      <c r="D372" s="614">
        <f>'Pl 2014-17 PFC'!D359</f>
        <v>0</v>
      </c>
      <c r="E372" s="614">
        <f>'Pl 2014-17 PFC'!E359</f>
        <v>0</v>
      </c>
      <c r="F372" s="614">
        <f>'Pl 2014-17 PFC'!F359</f>
        <v>0</v>
      </c>
      <c r="G372" s="614">
        <f>'Pl 2014-17 PFC'!G359</f>
        <v>0</v>
      </c>
      <c r="H372" s="614">
        <f>'Pl 2014-17 PFC'!H359</f>
        <v>0</v>
      </c>
      <c r="I372" s="614"/>
      <c r="J372" s="614"/>
      <c r="K372" s="615"/>
      <c r="L372" s="615"/>
      <c r="M372" s="615"/>
      <c r="N372" s="615"/>
      <c r="O372" s="615"/>
      <c r="P372" s="615"/>
      <c r="Q372" s="615"/>
      <c r="R372" s="615"/>
      <c r="S372" s="615"/>
      <c r="T372" s="615"/>
      <c r="U372" s="615"/>
      <c r="V372" s="615"/>
      <c r="W372" s="615"/>
      <c r="X372" s="615"/>
      <c r="Y372" s="615"/>
      <c r="Z372" s="615"/>
      <c r="AA372" s="615"/>
      <c r="AB372" s="615"/>
      <c r="AC372" s="615"/>
      <c r="AD372" s="615"/>
      <c r="AE372" s="615"/>
      <c r="AF372" s="615"/>
      <c r="AG372" s="615"/>
      <c r="AH372" s="615"/>
      <c r="AI372" s="615"/>
      <c r="AJ372" s="615"/>
      <c r="AK372" s="615"/>
      <c r="AL372" s="615"/>
    </row>
    <row r="373" spans="1:38" s="616" customFormat="1" ht="16.5" hidden="1" thickBot="1" x14ac:dyDescent="0.3">
      <c r="A373" s="611"/>
      <c r="B373" s="623" t="s">
        <v>169</v>
      </c>
      <c r="C373" s="613"/>
      <c r="D373" s="614">
        <f>'Pl 2014-17 PFC'!D360</f>
        <v>0</v>
      </c>
      <c r="E373" s="614">
        <f>'Pl 2014-17 PFC'!E360</f>
        <v>0</v>
      </c>
      <c r="F373" s="614">
        <f>'Pl 2014-17 PFC'!F360</f>
        <v>0</v>
      </c>
      <c r="G373" s="614">
        <f>'Pl 2014-17 PFC'!G360</f>
        <v>0</v>
      </c>
      <c r="H373" s="614">
        <f>'Pl 2014-17 PFC'!H360</f>
        <v>0</v>
      </c>
      <c r="I373" s="614"/>
      <c r="J373" s="614"/>
      <c r="K373" s="615"/>
      <c r="L373" s="615"/>
      <c r="M373" s="615"/>
      <c r="N373" s="615"/>
      <c r="O373" s="615"/>
      <c r="P373" s="615"/>
      <c r="Q373" s="615"/>
      <c r="R373" s="615"/>
      <c r="S373" s="615"/>
      <c r="T373" s="615"/>
      <c r="U373" s="615"/>
      <c r="V373" s="615"/>
      <c r="W373" s="615"/>
      <c r="X373" s="615"/>
      <c r="Y373" s="615"/>
      <c r="Z373" s="615"/>
      <c r="AA373" s="615"/>
      <c r="AB373" s="615"/>
      <c r="AC373" s="615"/>
      <c r="AD373" s="615"/>
      <c r="AE373" s="615"/>
      <c r="AF373" s="615"/>
      <c r="AG373" s="615"/>
      <c r="AH373" s="615"/>
      <c r="AI373" s="615"/>
      <c r="AJ373" s="615"/>
      <c r="AK373" s="615"/>
      <c r="AL373" s="615"/>
    </row>
    <row r="374" spans="1:38" s="616" customFormat="1" ht="16.5" hidden="1" thickBot="1" x14ac:dyDescent="0.3">
      <c r="A374" s="611"/>
      <c r="B374" s="623" t="s">
        <v>170</v>
      </c>
      <c r="C374" s="613"/>
      <c r="D374" s="614">
        <f>'Pl 2014-17 PFC'!D361</f>
        <v>0</v>
      </c>
      <c r="E374" s="614">
        <f>'Pl 2014-17 PFC'!E361</f>
        <v>0</v>
      </c>
      <c r="F374" s="614">
        <f>'Pl 2014-17 PFC'!F361</f>
        <v>0</v>
      </c>
      <c r="G374" s="614">
        <f>'Pl 2014-17 PFC'!G361</f>
        <v>0</v>
      </c>
      <c r="H374" s="614">
        <f>'Pl 2014-17 PFC'!H361</f>
        <v>0</v>
      </c>
      <c r="I374" s="614"/>
      <c r="J374" s="614"/>
      <c r="K374" s="615"/>
      <c r="L374" s="615"/>
      <c r="M374" s="615"/>
      <c r="N374" s="615"/>
      <c r="O374" s="615"/>
      <c r="P374" s="615"/>
      <c r="Q374" s="615"/>
      <c r="R374" s="615"/>
      <c r="S374" s="615"/>
      <c r="T374" s="615"/>
      <c r="U374" s="615"/>
      <c r="V374" s="615"/>
      <c r="W374" s="615"/>
      <c r="X374" s="615"/>
      <c r="Y374" s="615"/>
      <c r="Z374" s="615"/>
      <c r="AA374" s="615"/>
      <c r="AB374" s="615"/>
      <c r="AC374" s="615"/>
      <c r="AD374" s="615"/>
      <c r="AE374" s="615"/>
      <c r="AF374" s="615"/>
      <c r="AG374" s="615"/>
      <c r="AH374" s="615"/>
      <c r="AI374" s="615"/>
      <c r="AJ374" s="615"/>
      <c r="AK374" s="615"/>
      <c r="AL374" s="615"/>
    </row>
    <row r="375" spans="1:38" s="616" customFormat="1" ht="16.5" hidden="1" thickBot="1" x14ac:dyDescent="0.3">
      <c r="A375" s="611"/>
      <c r="B375" s="623" t="s">
        <v>171</v>
      </c>
      <c r="C375" s="613"/>
      <c r="D375" s="614">
        <f>'Pl 2014-17 PFC'!D362</f>
        <v>0</v>
      </c>
      <c r="E375" s="614">
        <f>'Pl 2014-17 PFC'!E362</f>
        <v>0</v>
      </c>
      <c r="F375" s="614">
        <f>'Pl 2014-17 PFC'!F362</f>
        <v>0</v>
      </c>
      <c r="G375" s="614">
        <f>'Pl 2014-17 PFC'!G362</f>
        <v>0</v>
      </c>
      <c r="H375" s="614">
        <f>'Pl 2014-17 PFC'!H362</f>
        <v>0</v>
      </c>
      <c r="I375" s="614"/>
      <c r="J375" s="614"/>
      <c r="K375" s="615"/>
      <c r="L375" s="615"/>
      <c r="M375" s="615"/>
      <c r="N375" s="615"/>
      <c r="O375" s="615"/>
      <c r="P375" s="615"/>
      <c r="Q375" s="615"/>
      <c r="R375" s="615"/>
      <c r="S375" s="615"/>
      <c r="T375" s="615"/>
      <c r="U375" s="615"/>
      <c r="V375" s="615"/>
      <c r="W375" s="615"/>
      <c r="X375" s="615"/>
      <c r="Y375" s="615"/>
      <c r="Z375" s="615"/>
      <c r="AA375" s="615"/>
      <c r="AB375" s="615"/>
      <c r="AC375" s="615"/>
      <c r="AD375" s="615"/>
      <c r="AE375" s="615"/>
      <c r="AF375" s="615"/>
      <c r="AG375" s="615"/>
      <c r="AH375" s="615"/>
      <c r="AI375" s="615"/>
      <c r="AJ375" s="615"/>
      <c r="AK375" s="615"/>
      <c r="AL375" s="615"/>
    </row>
    <row r="376" spans="1:38" s="616" customFormat="1" ht="16.5" hidden="1" thickBot="1" x14ac:dyDescent="0.3">
      <c r="A376" s="611"/>
      <c r="B376" s="623" t="s">
        <v>172</v>
      </c>
      <c r="C376" s="613"/>
      <c r="D376" s="614">
        <f>'Pl 2014-17 PFC'!D363</f>
        <v>0</v>
      </c>
      <c r="E376" s="614">
        <f>'Pl 2014-17 PFC'!E363</f>
        <v>0</v>
      </c>
      <c r="F376" s="614">
        <f>'Pl 2014-17 PFC'!F363</f>
        <v>0</v>
      </c>
      <c r="G376" s="614">
        <f>'Pl 2014-17 PFC'!G363</f>
        <v>0</v>
      </c>
      <c r="H376" s="614">
        <f>'Pl 2014-17 PFC'!H363</f>
        <v>0</v>
      </c>
      <c r="I376" s="614"/>
      <c r="J376" s="614"/>
      <c r="K376" s="615"/>
      <c r="L376" s="615"/>
      <c r="M376" s="615"/>
      <c r="N376" s="615"/>
      <c r="O376" s="615"/>
      <c r="P376" s="615"/>
      <c r="Q376" s="615"/>
      <c r="R376" s="615"/>
      <c r="S376" s="615"/>
      <c r="T376" s="615"/>
      <c r="U376" s="615"/>
      <c r="V376" s="615"/>
      <c r="W376" s="615"/>
      <c r="X376" s="615"/>
      <c r="Y376" s="615"/>
      <c r="Z376" s="615"/>
      <c r="AA376" s="615"/>
      <c r="AB376" s="615"/>
      <c r="AC376" s="615"/>
      <c r="AD376" s="615"/>
      <c r="AE376" s="615"/>
      <c r="AF376" s="615"/>
      <c r="AG376" s="615"/>
      <c r="AH376" s="615"/>
      <c r="AI376" s="615"/>
      <c r="AJ376" s="615"/>
      <c r="AK376" s="615"/>
      <c r="AL376" s="615"/>
    </row>
    <row r="377" spans="1:38" s="616" customFormat="1" ht="16.5" hidden="1" thickBot="1" x14ac:dyDescent="0.3">
      <c r="A377" s="611"/>
      <c r="B377" s="623" t="s">
        <v>173</v>
      </c>
      <c r="C377" s="613"/>
      <c r="D377" s="614">
        <f>'Pl 2014-17 PFC'!D364</f>
        <v>0</v>
      </c>
      <c r="E377" s="614">
        <f>'Pl 2014-17 PFC'!E364</f>
        <v>0</v>
      </c>
      <c r="F377" s="614">
        <f>'Pl 2014-17 PFC'!F364</f>
        <v>0</v>
      </c>
      <c r="G377" s="614">
        <f>'Pl 2014-17 PFC'!G364</f>
        <v>0</v>
      </c>
      <c r="H377" s="614">
        <f>'Pl 2014-17 PFC'!H364</f>
        <v>0</v>
      </c>
      <c r="I377" s="614"/>
      <c r="J377" s="614"/>
      <c r="K377" s="615"/>
      <c r="L377" s="615"/>
      <c r="M377" s="615"/>
      <c r="N377" s="615"/>
      <c r="O377" s="615"/>
      <c r="P377" s="615"/>
      <c r="Q377" s="615"/>
      <c r="R377" s="615"/>
      <c r="S377" s="615"/>
      <c r="T377" s="615"/>
      <c r="U377" s="615"/>
      <c r="V377" s="615"/>
      <c r="W377" s="615"/>
      <c r="X377" s="615"/>
      <c r="Y377" s="615"/>
      <c r="Z377" s="615"/>
      <c r="AA377" s="615"/>
      <c r="AB377" s="615"/>
      <c r="AC377" s="615"/>
      <c r="AD377" s="615"/>
      <c r="AE377" s="615"/>
      <c r="AF377" s="615"/>
      <c r="AG377" s="615"/>
      <c r="AH377" s="615"/>
      <c r="AI377" s="615"/>
      <c r="AJ377" s="615"/>
      <c r="AK377" s="615"/>
      <c r="AL377" s="615"/>
    </row>
    <row r="378" spans="1:38" s="616" customFormat="1" ht="16.5" hidden="1" thickBot="1" x14ac:dyDescent="0.3">
      <c r="A378" s="611"/>
      <c r="B378" s="623" t="s">
        <v>174</v>
      </c>
      <c r="C378" s="613"/>
      <c r="D378" s="614">
        <f>'Pl 2014-17 PFC'!D365</f>
        <v>0</v>
      </c>
      <c r="E378" s="614">
        <f>'Pl 2014-17 PFC'!E365</f>
        <v>0</v>
      </c>
      <c r="F378" s="614">
        <f>'Pl 2014-17 PFC'!F365</f>
        <v>0</v>
      </c>
      <c r="G378" s="614">
        <f>'Pl 2014-17 PFC'!G365</f>
        <v>0</v>
      </c>
      <c r="H378" s="614">
        <f>'Pl 2014-17 PFC'!H365</f>
        <v>0</v>
      </c>
      <c r="I378" s="614"/>
      <c r="J378" s="614"/>
      <c r="K378" s="615"/>
      <c r="L378" s="615"/>
      <c r="M378" s="615"/>
      <c r="N378" s="615"/>
      <c r="O378" s="615"/>
      <c r="P378" s="615"/>
      <c r="Q378" s="615"/>
      <c r="R378" s="615"/>
      <c r="S378" s="615"/>
      <c r="T378" s="615"/>
      <c r="U378" s="615"/>
      <c r="V378" s="615"/>
      <c r="W378" s="615"/>
      <c r="X378" s="615"/>
      <c r="Y378" s="615"/>
      <c r="Z378" s="615"/>
      <c r="AA378" s="615"/>
      <c r="AB378" s="615"/>
      <c r="AC378" s="615"/>
      <c r="AD378" s="615"/>
      <c r="AE378" s="615"/>
      <c r="AF378" s="615"/>
      <c r="AG378" s="615"/>
      <c r="AH378" s="615"/>
      <c r="AI378" s="615"/>
      <c r="AJ378" s="615"/>
      <c r="AK378" s="615"/>
      <c r="AL378" s="615"/>
    </row>
    <row r="379" spans="1:38" s="616" customFormat="1" ht="16.5" hidden="1" thickBot="1" x14ac:dyDescent="0.3">
      <c r="A379" s="611"/>
      <c r="B379" s="623" t="s">
        <v>175</v>
      </c>
      <c r="C379" s="613"/>
      <c r="D379" s="614">
        <f>'Pl 2014-17 PFC'!D366</f>
        <v>0</v>
      </c>
      <c r="E379" s="614">
        <f>'Pl 2014-17 PFC'!E366</f>
        <v>0</v>
      </c>
      <c r="F379" s="614">
        <f>'Pl 2014-17 PFC'!F366</f>
        <v>0</v>
      </c>
      <c r="G379" s="614">
        <f>'Pl 2014-17 PFC'!G366</f>
        <v>0</v>
      </c>
      <c r="H379" s="614">
        <f>'Pl 2014-17 PFC'!H366</f>
        <v>0</v>
      </c>
      <c r="I379" s="614"/>
      <c r="J379" s="614"/>
      <c r="K379" s="615"/>
      <c r="L379" s="615"/>
      <c r="M379" s="615"/>
      <c r="N379" s="615"/>
      <c r="O379" s="615"/>
      <c r="P379" s="615"/>
      <c r="Q379" s="615"/>
      <c r="R379" s="615"/>
      <c r="S379" s="615"/>
      <c r="T379" s="615"/>
      <c r="U379" s="615"/>
      <c r="V379" s="615"/>
      <c r="W379" s="615"/>
      <c r="X379" s="615"/>
      <c r="Y379" s="615"/>
      <c r="Z379" s="615"/>
      <c r="AA379" s="615"/>
      <c r="AB379" s="615"/>
      <c r="AC379" s="615"/>
      <c r="AD379" s="615"/>
      <c r="AE379" s="615"/>
      <c r="AF379" s="615"/>
      <c r="AG379" s="615"/>
      <c r="AH379" s="615"/>
      <c r="AI379" s="615"/>
      <c r="AJ379" s="615"/>
      <c r="AK379" s="615"/>
      <c r="AL379" s="615"/>
    </row>
    <row r="380" spans="1:38" s="616" customFormat="1" ht="16.5" hidden="1" thickBot="1" x14ac:dyDescent="0.3">
      <c r="A380" s="611"/>
      <c r="B380" s="623" t="s">
        <v>176</v>
      </c>
      <c r="C380" s="613"/>
      <c r="D380" s="614">
        <f>'Pl 2014-17 PFC'!D367</f>
        <v>360</v>
      </c>
      <c r="E380" s="614">
        <f>'Pl 2014-17 PFC'!E367</f>
        <v>1197</v>
      </c>
      <c r="F380" s="614">
        <f>'Pl 2014-17 PFC'!F367</f>
        <v>397</v>
      </c>
      <c r="G380" s="614">
        <f>'Pl 2014-17 PFC'!G367</f>
        <v>397</v>
      </c>
      <c r="H380" s="614">
        <f>'Pl 2014-17 PFC'!H367</f>
        <v>397</v>
      </c>
      <c r="I380" s="614"/>
      <c r="J380" s="614"/>
      <c r="K380" s="615"/>
      <c r="L380" s="615"/>
      <c r="M380" s="615"/>
      <c r="N380" s="615"/>
      <c r="O380" s="615"/>
      <c r="P380" s="615"/>
      <c r="Q380" s="615"/>
      <c r="R380" s="615"/>
      <c r="S380" s="615"/>
      <c r="T380" s="615"/>
      <c r="U380" s="615"/>
      <c r="V380" s="615"/>
      <c r="W380" s="615"/>
      <c r="X380" s="615"/>
      <c r="Y380" s="615"/>
      <c r="Z380" s="615"/>
      <c r="AA380" s="615"/>
      <c r="AB380" s="615"/>
      <c r="AC380" s="615"/>
      <c r="AD380" s="615"/>
      <c r="AE380" s="615"/>
      <c r="AF380" s="615"/>
      <c r="AG380" s="615"/>
      <c r="AH380" s="615"/>
      <c r="AI380" s="615"/>
      <c r="AJ380" s="615"/>
      <c r="AK380" s="615"/>
      <c r="AL380" s="615"/>
    </row>
    <row r="381" spans="1:38" s="616" customFormat="1" ht="16.5" hidden="1" thickBot="1" x14ac:dyDescent="0.3">
      <c r="A381" s="611"/>
      <c r="B381" s="623" t="s">
        <v>177</v>
      </c>
      <c r="C381" s="613"/>
      <c r="D381" s="614">
        <f>'Pl 2014-17 PFC'!D368</f>
        <v>69614</v>
      </c>
      <c r="E381" s="614">
        <f>'Pl 2014-17 PFC'!E368</f>
        <v>75480</v>
      </c>
      <c r="F381" s="614">
        <f>'Pl 2014-17 PFC'!F368</f>
        <v>167000</v>
      </c>
      <c r="G381" s="614">
        <f>'Pl 2014-17 PFC'!G368</f>
        <v>174700</v>
      </c>
      <c r="H381" s="614">
        <f>'Pl 2014-17 PFC'!H368</f>
        <v>183170</v>
      </c>
      <c r="I381" s="614"/>
      <c r="J381" s="614"/>
      <c r="K381" s="615"/>
      <c r="L381" s="615"/>
      <c r="M381" s="615"/>
      <c r="N381" s="615"/>
      <c r="O381" s="615"/>
      <c r="P381" s="615"/>
      <c r="Q381" s="615"/>
      <c r="R381" s="615"/>
      <c r="S381" s="615"/>
      <c r="T381" s="615"/>
      <c r="U381" s="615"/>
      <c r="V381" s="615"/>
      <c r="W381" s="615"/>
      <c r="X381" s="615"/>
      <c r="Y381" s="615"/>
      <c r="Z381" s="615"/>
      <c r="AA381" s="615"/>
      <c r="AB381" s="615"/>
      <c r="AC381" s="615"/>
      <c r="AD381" s="615"/>
      <c r="AE381" s="615"/>
      <c r="AF381" s="615"/>
      <c r="AG381" s="615"/>
      <c r="AH381" s="615"/>
      <c r="AI381" s="615"/>
      <c r="AJ381" s="615"/>
      <c r="AK381" s="615"/>
      <c r="AL381" s="615"/>
    </row>
    <row r="382" spans="1:38" s="616" customFormat="1" ht="16.5" hidden="1" thickBot="1" x14ac:dyDescent="0.3">
      <c r="A382" s="611"/>
      <c r="B382" s="623" t="s">
        <v>405</v>
      </c>
      <c r="C382" s="613"/>
      <c r="D382" s="614">
        <f>'Pl 2014-17 PFC'!D369</f>
        <v>0</v>
      </c>
      <c r="E382" s="614">
        <f>'Pl 2014-17 PFC'!E369</f>
        <v>0</v>
      </c>
      <c r="F382" s="614">
        <f>'Pl 2014-17 PFC'!F369</f>
        <v>0</v>
      </c>
      <c r="G382" s="614">
        <f>'Pl 2014-17 PFC'!G369</f>
        <v>0</v>
      </c>
      <c r="H382" s="614">
        <f>'Pl 2014-17 PFC'!H369</f>
        <v>0</v>
      </c>
      <c r="I382" s="614"/>
      <c r="J382" s="614"/>
      <c r="K382" s="615"/>
      <c r="L382" s="615"/>
      <c r="M382" s="615"/>
      <c r="N382" s="615"/>
      <c r="O382" s="615"/>
      <c r="P382" s="615"/>
      <c r="Q382" s="615"/>
      <c r="R382" s="615"/>
      <c r="S382" s="615"/>
      <c r="T382" s="615"/>
      <c r="U382" s="615"/>
      <c r="V382" s="615"/>
      <c r="W382" s="615"/>
      <c r="X382" s="615"/>
      <c r="Y382" s="615"/>
      <c r="Z382" s="615"/>
      <c r="AA382" s="615"/>
      <c r="AB382" s="615"/>
      <c r="AC382" s="615"/>
      <c r="AD382" s="615"/>
      <c r="AE382" s="615"/>
      <c r="AF382" s="615"/>
      <c r="AG382" s="615"/>
      <c r="AH382" s="615"/>
      <c r="AI382" s="615"/>
      <c r="AJ382" s="615"/>
      <c r="AK382" s="615"/>
      <c r="AL382" s="615"/>
    </row>
    <row r="383" spans="1:38" s="616" customFormat="1" ht="16.5" hidden="1" thickBot="1" x14ac:dyDescent="0.3">
      <c r="A383" s="611"/>
      <c r="B383" s="623" t="s">
        <v>179</v>
      </c>
      <c r="C383" s="613"/>
      <c r="D383" s="614">
        <f>'Pl 2014-17 PFC'!D370</f>
        <v>0</v>
      </c>
      <c r="E383" s="614">
        <f>'Pl 2014-17 PFC'!E370</f>
        <v>0</v>
      </c>
      <c r="F383" s="614">
        <f>'Pl 2014-17 PFC'!F370</f>
        <v>5200</v>
      </c>
      <c r="G383" s="614">
        <f>'Pl 2014-17 PFC'!G370</f>
        <v>5200</v>
      </c>
      <c r="H383" s="614">
        <f>'Pl 2014-17 PFC'!H370</f>
        <v>5200</v>
      </c>
      <c r="I383" s="614"/>
      <c r="J383" s="614"/>
      <c r="K383" s="615"/>
      <c r="L383" s="615"/>
      <c r="M383" s="615"/>
      <c r="N383" s="615"/>
      <c r="O383" s="615"/>
      <c r="P383" s="615"/>
      <c r="Q383" s="615"/>
      <c r="R383" s="615"/>
      <c r="S383" s="615"/>
      <c r="T383" s="615"/>
      <c r="U383" s="615"/>
      <c r="V383" s="615"/>
      <c r="W383" s="615"/>
      <c r="X383" s="615"/>
      <c r="Y383" s="615"/>
      <c r="Z383" s="615"/>
      <c r="AA383" s="615"/>
      <c r="AB383" s="615"/>
      <c r="AC383" s="615"/>
      <c r="AD383" s="615"/>
      <c r="AE383" s="615"/>
      <c r="AF383" s="615"/>
      <c r="AG383" s="615"/>
      <c r="AH383" s="615"/>
      <c r="AI383" s="615"/>
      <c r="AJ383" s="615"/>
      <c r="AK383" s="615"/>
      <c r="AL383" s="615"/>
    </row>
    <row r="384" spans="1:38" s="616" customFormat="1" ht="16.5" hidden="1" thickBot="1" x14ac:dyDescent="0.3">
      <c r="A384" s="611"/>
      <c r="B384" s="623"/>
      <c r="C384" s="613"/>
      <c r="D384" s="614"/>
      <c r="E384" s="614"/>
      <c r="F384" s="614"/>
      <c r="G384" s="614"/>
      <c r="H384" s="614"/>
      <c r="I384" s="614"/>
      <c r="J384" s="614"/>
      <c r="K384" s="615"/>
      <c r="L384" s="615"/>
      <c r="M384" s="615"/>
      <c r="N384" s="615"/>
      <c r="O384" s="615"/>
      <c r="P384" s="615"/>
      <c r="Q384" s="615"/>
      <c r="R384" s="615"/>
      <c r="S384" s="615"/>
      <c r="T384" s="615"/>
      <c r="U384" s="615"/>
      <c r="V384" s="615"/>
      <c r="W384" s="615"/>
      <c r="X384" s="615"/>
      <c r="Y384" s="615"/>
      <c r="Z384" s="615"/>
      <c r="AA384" s="615"/>
      <c r="AB384" s="615"/>
      <c r="AC384" s="615"/>
      <c r="AD384" s="615"/>
      <c r="AE384" s="615"/>
      <c r="AF384" s="615"/>
      <c r="AG384" s="615"/>
      <c r="AH384" s="615"/>
      <c r="AI384" s="615"/>
      <c r="AJ384" s="615"/>
      <c r="AK384" s="615"/>
      <c r="AL384" s="615"/>
    </row>
    <row r="385" spans="1:38" s="638" customFormat="1" ht="16.5" hidden="1" thickBot="1" x14ac:dyDescent="0.3">
      <c r="A385" s="611" t="s">
        <v>22</v>
      </c>
      <c r="B385" s="623" t="s">
        <v>406</v>
      </c>
      <c r="C385" s="613" t="s">
        <v>87</v>
      </c>
      <c r="D385" s="614">
        <f>'Pl 2014-17 PFC'!D372</f>
        <v>3383959</v>
      </c>
      <c r="E385" s="614">
        <f>'Pl 2014-17 PFC'!E372</f>
        <v>3405504</v>
      </c>
      <c r="F385" s="614">
        <f>'Pl 2014-17 PFC'!F372</f>
        <v>3203428</v>
      </c>
      <c r="G385" s="614">
        <f>'Pl 2014-17 PFC'!G372</f>
        <v>3238766</v>
      </c>
      <c r="H385" s="614">
        <f>'Pl 2014-17 PFC'!H372</f>
        <v>3274441</v>
      </c>
      <c r="I385" s="614"/>
      <c r="J385" s="614"/>
      <c r="K385" s="504"/>
      <c r="L385" s="504"/>
      <c r="M385" s="504"/>
      <c r="N385" s="504"/>
      <c r="O385" s="504"/>
      <c r="P385" s="504"/>
      <c r="Q385" s="504"/>
      <c r="R385" s="504"/>
      <c r="S385" s="504"/>
      <c r="T385" s="504"/>
      <c r="U385" s="504"/>
      <c r="V385" s="504"/>
      <c r="W385" s="504"/>
      <c r="X385" s="504"/>
      <c r="Y385" s="504"/>
      <c r="Z385" s="504"/>
      <c r="AA385" s="504"/>
      <c r="AB385" s="504"/>
      <c r="AC385" s="504"/>
      <c r="AD385" s="504"/>
      <c r="AE385" s="504"/>
      <c r="AF385" s="504"/>
      <c r="AG385" s="504"/>
      <c r="AH385" s="504"/>
      <c r="AI385" s="504"/>
      <c r="AJ385" s="504"/>
      <c r="AK385" s="504"/>
      <c r="AL385" s="504"/>
    </row>
    <row r="386" spans="1:38" s="504" customFormat="1" ht="16.5" hidden="1" thickBot="1" x14ac:dyDescent="0.3">
      <c r="A386" s="611" t="s">
        <v>181</v>
      </c>
      <c r="B386" s="623" t="s">
        <v>150</v>
      </c>
      <c r="C386" s="613" t="s">
        <v>182</v>
      </c>
      <c r="D386" s="614">
        <f>'Pl 2014-17 PFC'!D373</f>
        <v>3383959</v>
      </c>
      <c r="E386" s="614">
        <f>'Pl 2014-17 PFC'!E373</f>
        <v>3405504</v>
      </c>
      <c r="F386" s="614">
        <f>'Pl 2014-17 PFC'!F373</f>
        <v>3203428</v>
      </c>
      <c r="G386" s="614">
        <f>'Pl 2014-17 PFC'!G373</f>
        <v>3238766</v>
      </c>
      <c r="H386" s="614">
        <f>'Pl 2014-17 PFC'!H373</f>
        <v>3274441</v>
      </c>
      <c r="I386" s="614"/>
      <c r="J386" s="614"/>
    </row>
    <row r="387" spans="1:38" s="505" customFormat="1" ht="16.5" hidden="1" thickBot="1" x14ac:dyDescent="0.3">
      <c r="A387" s="611" t="s">
        <v>183</v>
      </c>
      <c r="B387" s="623" t="s">
        <v>153</v>
      </c>
      <c r="C387" s="639" t="s">
        <v>184</v>
      </c>
      <c r="D387" s="614">
        <f>'Pl 2014-17 PFC'!D374</f>
        <v>0</v>
      </c>
      <c r="E387" s="614">
        <f>'Pl 2014-17 PFC'!E374</f>
        <v>0</v>
      </c>
      <c r="F387" s="614">
        <f>'Pl 2014-17 PFC'!F374</f>
        <v>0</v>
      </c>
      <c r="G387" s="614">
        <f>'Pl 2014-17 PFC'!G374</f>
        <v>0</v>
      </c>
      <c r="H387" s="614">
        <f>'Pl 2014-17 PFC'!H374</f>
        <v>0</v>
      </c>
      <c r="I387" s="614"/>
      <c r="J387" s="614"/>
      <c r="K387" s="504"/>
      <c r="L387" s="504"/>
      <c r="M387" s="504"/>
      <c r="N387" s="504"/>
      <c r="O387" s="504"/>
      <c r="P387" s="504"/>
      <c r="Q387" s="504"/>
      <c r="R387" s="504"/>
      <c r="S387" s="504"/>
      <c r="T387" s="504"/>
      <c r="U387" s="504"/>
      <c r="V387" s="504"/>
      <c r="W387" s="504"/>
      <c r="X387" s="504"/>
      <c r="Y387" s="504"/>
      <c r="Z387" s="504"/>
      <c r="AA387" s="504"/>
      <c r="AB387" s="504"/>
      <c r="AC387" s="504"/>
      <c r="AD387" s="504"/>
      <c r="AE387" s="504"/>
      <c r="AF387" s="504"/>
      <c r="AG387" s="504"/>
      <c r="AH387" s="504"/>
      <c r="AI387" s="504"/>
      <c r="AJ387" s="504"/>
    </row>
    <row r="388" spans="1:38" s="505" customFormat="1" ht="16.5" hidden="1" thickBot="1" x14ac:dyDescent="0.3">
      <c r="A388" s="611"/>
      <c r="B388" s="623" t="s">
        <v>407</v>
      </c>
      <c r="C388" s="639" t="s">
        <v>182</v>
      </c>
      <c r="D388" s="614">
        <f>'Pl 2014-17 PFC'!D375</f>
        <v>74676</v>
      </c>
      <c r="E388" s="614">
        <f>'Pl 2014-17 PFC'!E375</f>
        <v>84294</v>
      </c>
      <c r="F388" s="614">
        <f>'Pl 2014-17 PFC'!F375</f>
        <v>89318</v>
      </c>
      <c r="G388" s="614">
        <f>'Pl 2014-17 PFC'!G375</f>
        <v>94656</v>
      </c>
      <c r="H388" s="614">
        <f>'Pl 2014-17 PFC'!H375</f>
        <v>100331</v>
      </c>
      <c r="I388" s="614"/>
      <c r="J388" s="614"/>
      <c r="K388" s="504"/>
      <c r="L388" s="504"/>
      <c r="M388" s="504"/>
      <c r="N388" s="504"/>
      <c r="O388" s="504"/>
      <c r="P388" s="504"/>
      <c r="Q388" s="504"/>
      <c r="R388" s="504"/>
      <c r="S388" s="504"/>
      <c r="T388" s="504"/>
      <c r="U388" s="504"/>
      <c r="V388" s="504"/>
      <c r="W388" s="504"/>
      <c r="X388" s="504"/>
      <c r="Y388" s="504"/>
      <c r="Z388" s="504"/>
      <c r="AA388" s="504"/>
      <c r="AB388" s="504"/>
      <c r="AC388" s="504"/>
      <c r="AD388" s="504"/>
      <c r="AE388" s="504"/>
      <c r="AF388" s="504"/>
      <c r="AG388" s="504"/>
      <c r="AH388" s="504"/>
      <c r="AI388" s="504"/>
      <c r="AJ388" s="504"/>
    </row>
    <row r="389" spans="1:38" s="505" customFormat="1" ht="16.5" hidden="1" thickBot="1" x14ac:dyDescent="0.3">
      <c r="A389" s="611"/>
      <c r="B389" s="623" t="s">
        <v>186</v>
      </c>
      <c r="C389" s="639" t="s">
        <v>182</v>
      </c>
      <c r="D389" s="614">
        <f>'Pl 2014-17 PFC'!D376</f>
        <v>50</v>
      </c>
      <c r="E389" s="614">
        <f>'Pl 2014-17 PFC'!E376</f>
        <v>50</v>
      </c>
      <c r="F389" s="614">
        <f>'Pl 2014-17 PFC'!F376</f>
        <v>50</v>
      </c>
      <c r="G389" s="614">
        <f>'Pl 2014-17 PFC'!G376</f>
        <v>50</v>
      </c>
      <c r="H389" s="614">
        <f>'Pl 2014-17 PFC'!H376</f>
        <v>50</v>
      </c>
      <c r="I389" s="614"/>
      <c r="J389" s="614"/>
      <c r="K389" s="504"/>
      <c r="L389" s="504"/>
      <c r="M389" s="504"/>
      <c r="N389" s="504"/>
      <c r="O389" s="504"/>
      <c r="P389" s="504"/>
      <c r="Q389" s="504"/>
      <c r="R389" s="504"/>
      <c r="S389" s="504"/>
      <c r="T389" s="504"/>
      <c r="U389" s="504"/>
      <c r="V389" s="504"/>
      <c r="W389" s="504"/>
      <c r="X389" s="504"/>
      <c r="Y389" s="504"/>
      <c r="Z389" s="504"/>
      <c r="AA389" s="504"/>
      <c r="AB389" s="504"/>
      <c r="AC389" s="504"/>
      <c r="AD389" s="504"/>
      <c r="AE389" s="504"/>
      <c r="AF389" s="504"/>
      <c r="AG389" s="504"/>
      <c r="AH389" s="504"/>
      <c r="AI389" s="504"/>
      <c r="AJ389" s="504"/>
    </row>
    <row r="390" spans="1:38" s="505" customFormat="1" ht="16.5" hidden="1" thickBot="1" x14ac:dyDescent="0.3">
      <c r="A390" s="611"/>
      <c r="B390" s="623" t="s">
        <v>187</v>
      </c>
      <c r="C390" s="639" t="s">
        <v>182</v>
      </c>
      <c r="D390" s="614">
        <f>'Pl 2014-17 PFC'!D377</f>
        <v>70847</v>
      </c>
      <c r="E390" s="614">
        <f>'Pl 2014-17 PFC'!E377</f>
        <v>79925</v>
      </c>
      <c r="F390" s="614">
        <f>'Pl 2014-17 PFC'!F377</f>
        <v>84163</v>
      </c>
      <c r="G390" s="614">
        <f>'Pl 2014-17 PFC'!G377</f>
        <v>88625</v>
      </c>
      <c r="H390" s="614">
        <f>'Pl 2014-17 PFC'!H377</f>
        <v>93324</v>
      </c>
      <c r="I390" s="614"/>
      <c r="J390" s="614"/>
      <c r="K390" s="504"/>
      <c r="L390" s="504"/>
      <c r="M390" s="504"/>
      <c r="N390" s="504"/>
      <c r="O390" s="504"/>
      <c r="P390" s="504"/>
      <c r="Q390" s="504"/>
      <c r="R390" s="504"/>
      <c r="S390" s="504"/>
      <c r="T390" s="504"/>
      <c r="U390" s="504"/>
      <c r="V390" s="504"/>
      <c r="W390" s="504"/>
      <c r="X390" s="504"/>
      <c r="Y390" s="504"/>
      <c r="Z390" s="504"/>
      <c r="AA390" s="504"/>
      <c r="AB390" s="504"/>
      <c r="AC390" s="504"/>
      <c r="AD390" s="504"/>
      <c r="AE390" s="504"/>
      <c r="AF390" s="504"/>
      <c r="AG390" s="504"/>
      <c r="AH390" s="504"/>
      <c r="AI390" s="504"/>
      <c r="AJ390" s="504"/>
    </row>
    <row r="391" spans="1:38" s="505" customFormat="1" ht="16.5" hidden="1" thickBot="1" x14ac:dyDescent="0.3">
      <c r="A391" s="611"/>
      <c r="B391" s="623" t="s">
        <v>188</v>
      </c>
      <c r="C391" s="639" t="s">
        <v>182</v>
      </c>
      <c r="D391" s="614">
        <f>'Pl 2014-17 PFC'!D378</f>
        <v>3779</v>
      </c>
      <c r="E391" s="614">
        <f>'Pl 2014-17 PFC'!E378</f>
        <v>4319</v>
      </c>
      <c r="F391" s="614">
        <f>'Pl 2014-17 PFC'!F378</f>
        <v>5105</v>
      </c>
      <c r="G391" s="614">
        <f>'Pl 2014-17 PFC'!G378</f>
        <v>5981</v>
      </c>
      <c r="H391" s="614">
        <f>'Pl 2014-17 PFC'!H378</f>
        <v>6957</v>
      </c>
      <c r="I391" s="614"/>
      <c r="J391" s="614"/>
      <c r="K391" s="504"/>
      <c r="L391" s="504"/>
      <c r="M391" s="504"/>
      <c r="N391" s="504"/>
      <c r="O391" s="504"/>
      <c r="P391" s="504"/>
      <c r="Q391" s="504"/>
      <c r="R391" s="504"/>
      <c r="S391" s="504"/>
      <c r="T391" s="504"/>
      <c r="U391" s="504"/>
      <c r="V391" s="504"/>
      <c r="W391" s="504"/>
      <c r="X391" s="504"/>
      <c r="Y391" s="504"/>
      <c r="Z391" s="504"/>
      <c r="AA391" s="504"/>
      <c r="AB391" s="504"/>
      <c r="AC391" s="504"/>
      <c r="AD391" s="504"/>
      <c r="AE391" s="504"/>
      <c r="AF391" s="504"/>
      <c r="AG391" s="504"/>
      <c r="AH391" s="504"/>
      <c r="AI391" s="504"/>
      <c r="AJ391" s="504"/>
    </row>
    <row r="392" spans="1:38" s="505" customFormat="1" ht="16.5" hidden="1" thickBot="1" x14ac:dyDescent="0.3">
      <c r="A392" s="611"/>
      <c r="B392" s="623" t="s">
        <v>397</v>
      </c>
      <c r="C392" s="639" t="s">
        <v>184</v>
      </c>
      <c r="D392" s="614">
        <f>'Pl 2014-17 PFC'!D379</f>
        <v>0</v>
      </c>
      <c r="E392" s="614">
        <f>'Pl 2014-17 PFC'!E379</f>
        <v>0</v>
      </c>
      <c r="F392" s="614">
        <f>'Pl 2014-17 PFC'!F379</f>
        <v>0</v>
      </c>
      <c r="G392" s="614">
        <f>'Pl 2014-17 PFC'!G379</f>
        <v>0</v>
      </c>
      <c r="H392" s="614">
        <f>'Pl 2014-17 PFC'!H379</f>
        <v>0</v>
      </c>
      <c r="I392" s="614"/>
      <c r="J392" s="614"/>
      <c r="K392" s="504"/>
      <c r="L392" s="504"/>
      <c r="M392" s="504"/>
      <c r="N392" s="504"/>
      <c r="O392" s="504"/>
      <c r="P392" s="504"/>
      <c r="Q392" s="504"/>
      <c r="R392" s="504"/>
      <c r="S392" s="504"/>
      <c r="T392" s="504"/>
      <c r="U392" s="504"/>
      <c r="V392" s="504"/>
      <c r="W392" s="504"/>
      <c r="X392" s="504"/>
      <c r="Y392" s="504"/>
      <c r="Z392" s="504"/>
      <c r="AA392" s="504"/>
      <c r="AB392" s="504"/>
      <c r="AC392" s="504"/>
      <c r="AD392" s="504"/>
      <c r="AE392" s="504"/>
      <c r="AF392" s="504"/>
      <c r="AG392" s="504"/>
      <c r="AH392" s="504"/>
      <c r="AI392" s="504"/>
      <c r="AJ392" s="504"/>
    </row>
    <row r="393" spans="1:38" s="505" customFormat="1" ht="16.5" hidden="1" thickBot="1" x14ac:dyDescent="0.3">
      <c r="A393" s="611"/>
      <c r="B393" s="623" t="s">
        <v>398</v>
      </c>
      <c r="C393" s="639"/>
      <c r="D393" s="614">
        <f>'Pl 2014-17 PFC'!D380</f>
        <v>500</v>
      </c>
      <c r="E393" s="614">
        <f>'Pl 2014-17 PFC'!E380</f>
        <v>0</v>
      </c>
      <c r="F393" s="614">
        <f>'Pl 2014-17 PFC'!F380</f>
        <v>2400</v>
      </c>
      <c r="G393" s="614">
        <f>'Pl 2014-17 PFC'!G380</f>
        <v>2400</v>
      </c>
      <c r="H393" s="614">
        <f>'Pl 2014-17 PFC'!H380</f>
        <v>2400</v>
      </c>
      <c r="I393" s="614"/>
      <c r="J393" s="614"/>
      <c r="K393" s="504"/>
      <c r="L393" s="504"/>
      <c r="M393" s="504"/>
      <c r="N393" s="504"/>
      <c r="O393" s="504"/>
      <c r="P393" s="504"/>
      <c r="Q393" s="504"/>
      <c r="R393" s="504"/>
      <c r="S393" s="504"/>
      <c r="T393" s="504"/>
      <c r="U393" s="504"/>
      <c r="V393" s="504"/>
      <c r="W393" s="504"/>
      <c r="X393" s="504"/>
      <c r="Y393" s="504"/>
      <c r="Z393" s="504"/>
      <c r="AA393" s="504"/>
      <c r="AB393" s="504"/>
      <c r="AC393" s="504"/>
      <c r="AD393" s="504"/>
      <c r="AE393" s="504"/>
      <c r="AF393" s="504"/>
      <c r="AG393" s="504"/>
      <c r="AH393" s="504"/>
      <c r="AI393" s="504"/>
      <c r="AJ393" s="504"/>
    </row>
    <row r="394" spans="1:38" s="505" customFormat="1" ht="16.5" hidden="1" thickBot="1" x14ac:dyDescent="0.3">
      <c r="A394" s="611"/>
      <c r="B394" s="623" t="s">
        <v>408</v>
      </c>
      <c r="C394" s="639"/>
      <c r="D394" s="614">
        <f>'Pl 2014-17 PFC'!D381</f>
        <v>4200</v>
      </c>
      <c r="E394" s="614">
        <f>'Pl 2014-17 PFC'!E381</f>
        <v>5500</v>
      </c>
      <c r="F394" s="614">
        <f>'Pl 2014-17 PFC'!F381</f>
        <v>5500</v>
      </c>
      <c r="G394" s="614">
        <f>'Pl 2014-17 PFC'!G381</f>
        <v>5500</v>
      </c>
      <c r="H394" s="614">
        <f>'Pl 2014-17 PFC'!H381</f>
        <v>5500</v>
      </c>
      <c r="I394" s="614"/>
      <c r="J394" s="614"/>
      <c r="K394" s="504"/>
      <c r="L394" s="504"/>
      <c r="M394" s="504"/>
      <c r="N394" s="504"/>
      <c r="O394" s="504"/>
      <c r="P394" s="504"/>
      <c r="Q394" s="504"/>
      <c r="R394" s="504"/>
      <c r="S394" s="504"/>
      <c r="T394" s="504"/>
      <c r="U394" s="504"/>
      <c r="V394" s="504"/>
      <c r="W394" s="504"/>
      <c r="X394" s="504"/>
      <c r="Y394" s="504"/>
      <c r="Z394" s="504"/>
      <c r="AA394" s="504"/>
      <c r="AB394" s="504"/>
      <c r="AC394" s="504"/>
      <c r="AD394" s="504"/>
      <c r="AE394" s="504"/>
      <c r="AF394" s="504"/>
      <c r="AG394" s="504"/>
      <c r="AH394" s="504"/>
      <c r="AI394" s="504"/>
      <c r="AJ394" s="504"/>
    </row>
    <row r="395" spans="1:38" s="505" customFormat="1" ht="32.25" hidden="1" thickBot="1" x14ac:dyDescent="0.3">
      <c r="A395" s="611"/>
      <c r="B395" s="623" t="s">
        <v>409</v>
      </c>
      <c r="C395" s="639"/>
      <c r="D395" s="614">
        <f>'Pl 2014-17 PFC'!D382</f>
        <v>6041</v>
      </c>
      <c r="E395" s="614">
        <f>'Pl 2014-17 PFC'!E382</f>
        <v>5500</v>
      </c>
      <c r="F395" s="614">
        <f>'Pl 2014-17 PFC'!F382</f>
        <v>13000</v>
      </c>
      <c r="G395" s="614">
        <f>'Pl 2014-17 PFC'!G382</f>
        <v>13000</v>
      </c>
      <c r="H395" s="614">
        <f>'Pl 2014-17 PFC'!H382</f>
        <v>13000</v>
      </c>
      <c r="I395" s="614"/>
      <c r="J395" s="614"/>
      <c r="K395" s="504"/>
      <c r="L395" s="504"/>
      <c r="M395" s="504"/>
      <c r="N395" s="504"/>
      <c r="O395" s="504"/>
      <c r="P395" s="504"/>
      <c r="Q395" s="504"/>
      <c r="R395" s="504"/>
      <c r="S395" s="504"/>
      <c r="T395" s="504"/>
      <c r="U395" s="504"/>
      <c r="V395" s="504"/>
      <c r="W395" s="504"/>
      <c r="X395" s="504"/>
      <c r="Y395" s="504"/>
      <c r="Z395" s="504"/>
      <c r="AA395" s="504"/>
      <c r="AB395" s="504"/>
      <c r="AC395" s="504"/>
      <c r="AD395" s="504"/>
      <c r="AE395" s="504"/>
      <c r="AF395" s="504"/>
      <c r="AG395" s="504"/>
      <c r="AH395" s="504"/>
      <c r="AI395" s="504"/>
      <c r="AJ395" s="504"/>
    </row>
    <row r="396" spans="1:38" s="505" customFormat="1" ht="16.5" hidden="1" thickBot="1" x14ac:dyDescent="0.3">
      <c r="A396" s="611"/>
      <c r="B396" s="623" t="s">
        <v>410</v>
      </c>
      <c r="C396" s="639" t="s">
        <v>182</v>
      </c>
      <c r="D396" s="614">
        <f>'Pl 2014-17 PFC'!D383</f>
        <v>3156132</v>
      </c>
      <c r="E396" s="614">
        <f>'Pl 2014-17 PFC'!E383</f>
        <v>3147000</v>
      </c>
      <c r="F396" s="614">
        <f>'Pl 2014-17 PFC'!F383</f>
        <v>2930000</v>
      </c>
      <c r="G396" s="614">
        <f>'Pl 2014-17 PFC'!G383</f>
        <v>2960000</v>
      </c>
      <c r="H396" s="614">
        <f>'Pl 2014-17 PFC'!H383</f>
        <v>2990000</v>
      </c>
      <c r="I396" s="614"/>
      <c r="J396" s="614"/>
      <c r="K396" s="504"/>
      <c r="L396" s="504"/>
      <c r="M396" s="504"/>
      <c r="N396" s="504"/>
      <c r="O396" s="504"/>
      <c r="P396" s="504"/>
      <c r="Q396" s="504"/>
      <c r="R396" s="504"/>
      <c r="S396" s="504"/>
      <c r="T396" s="504"/>
      <c r="U396" s="504"/>
      <c r="V396" s="504"/>
      <c r="W396" s="504"/>
      <c r="X396" s="504"/>
      <c r="Y396" s="504"/>
      <c r="Z396" s="504"/>
      <c r="AA396" s="504"/>
      <c r="AB396" s="504"/>
      <c r="AC396" s="504"/>
      <c r="AD396" s="504"/>
      <c r="AE396" s="504"/>
      <c r="AF396" s="504"/>
      <c r="AG396" s="504"/>
      <c r="AH396" s="504"/>
      <c r="AI396" s="504"/>
      <c r="AJ396" s="504"/>
    </row>
    <row r="397" spans="1:38" s="505" customFormat="1" ht="16.5" hidden="1" thickBot="1" x14ac:dyDescent="0.3">
      <c r="A397" s="611"/>
      <c r="B397" s="623" t="s">
        <v>400</v>
      </c>
      <c r="C397" s="639" t="s">
        <v>182</v>
      </c>
      <c r="D397" s="614">
        <f>'Pl 2014-17 PFC'!D384</f>
        <v>10</v>
      </c>
      <c r="E397" s="614">
        <f>'Pl 2014-17 PFC'!E384</f>
        <v>10</v>
      </c>
      <c r="F397" s="614">
        <f>'Pl 2014-17 PFC'!F384</f>
        <v>10</v>
      </c>
      <c r="G397" s="614">
        <f>'Pl 2014-17 PFC'!G384</f>
        <v>10</v>
      </c>
      <c r="H397" s="614">
        <f>'Pl 2014-17 PFC'!H384</f>
        <v>10</v>
      </c>
      <c r="I397" s="614"/>
      <c r="J397" s="614"/>
      <c r="K397" s="504"/>
      <c r="L397" s="504"/>
      <c r="M397" s="504"/>
      <c r="N397" s="504"/>
      <c r="O397" s="504"/>
      <c r="P397" s="504"/>
      <c r="Q397" s="504"/>
      <c r="R397" s="504"/>
      <c r="S397" s="504"/>
      <c r="T397" s="504"/>
      <c r="U397" s="504"/>
      <c r="V397" s="504"/>
      <c r="W397" s="504"/>
      <c r="X397" s="504"/>
      <c r="Y397" s="504"/>
      <c r="Z397" s="504"/>
      <c r="AA397" s="504"/>
      <c r="AB397" s="504"/>
      <c r="AC397" s="504"/>
      <c r="AD397" s="504"/>
      <c r="AE397" s="504"/>
      <c r="AF397" s="504"/>
      <c r="AG397" s="504"/>
      <c r="AH397" s="504"/>
      <c r="AI397" s="504"/>
      <c r="AJ397" s="504"/>
    </row>
    <row r="398" spans="1:38" s="505" customFormat="1" ht="16.5" hidden="1" thickBot="1" x14ac:dyDescent="0.3">
      <c r="A398" s="611"/>
      <c r="B398" s="623" t="s">
        <v>411</v>
      </c>
      <c r="C398" s="639" t="s">
        <v>182</v>
      </c>
      <c r="D398" s="614">
        <f>'Pl 2014-17 PFC'!D385</f>
        <v>2316</v>
      </c>
      <c r="E398" s="614">
        <f>'Pl 2014-17 PFC'!E385</f>
        <v>3000</v>
      </c>
      <c r="F398" s="614">
        <f>'Pl 2014-17 PFC'!F385</f>
        <v>3000</v>
      </c>
      <c r="G398" s="614">
        <f>'Pl 2014-17 PFC'!G385</f>
        <v>3000</v>
      </c>
      <c r="H398" s="614">
        <f>'Pl 2014-17 PFC'!H385</f>
        <v>3000</v>
      </c>
      <c r="I398" s="614"/>
      <c r="J398" s="614"/>
      <c r="K398" s="504"/>
      <c r="L398" s="504"/>
      <c r="M398" s="504"/>
      <c r="N398" s="504"/>
      <c r="O398" s="504"/>
      <c r="P398" s="504"/>
      <c r="Q398" s="504"/>
      <c r="R398" s="504"/>
      <c r="S398" s="504"/>
      <c r="T398" s="504"/>
      <c r="U398" s="504"/>
      <c r="V398" s="504"/>
      <c r="W398" s="504"/>
      <c r="X398" s="504"/>
      <c r="Y398" s="504"/>
      <c r="Z398" s="504"/>
      <c r="AA398" s="504"/>
      <c r="AB398" s="504"/>
      <c r="AC398" s="504"/>
      <c r="AD398" s="504"/>
      <c r="AE398" s="504"/>
      <c r="AF398" s="504"/>
      <c r="AG398" s="504"/>
      <c r="AH398" s="504"/>
      <c r="AI398" s="504"/>
      <c r="AJ398" s="504"/>
    </row>
    <row r="399" spans="1:38" s="505" customFormat="1" ht="16.5" hidden="1" thickBot="1" x14ac:dyDescent="0.3">
      <c r="A399" s="611"/>
      <c r="B399" s="623" t="s">
        <v>192</v>
      </c>
      <c r="C399" s="639" t="s">
        <v>182</v>
      </c>
      <c r="D399" s="614">
        <f>'Pl 2014-17 PFC'!D386</f>
        <v>140000</v>
      </c>
      <c r="E399" s="614">
        <f>'Pl 2014-17 PFC'!E386</f>
        <v>160000</v>
      </c>
      <c r="F399" s="614">
        <f>'Pl 2014-17 PFC'!F386</f>
        <v>160000</v>
      </c>
      <c r="G399" s="614">
        <f>'Pl 2014-17 PFC'!G386</f>
        <v>160000</v>
      </c>
      <c r="H399" s="614">
        <f>'Pl 2014-17 PFC'!H386</f>
        <v>160000</v>
      </c>
      <c r="I399" s="614"/>
      <c r="J399" s="614"/>
      <c r="K399" s="504"/>
      <c r="L399" s="504"/>
      <c r="M399" s="504"/>
      <c r="N399" s="504"/>
      <c r="O399" s="504"/>
      <c r="P399" s="504"/>
      <c r="Q399" s="504"/>
      <c r="R399" s="504"/>
      <c r="S399" s="504"/>
      <c r="T399" s="504"/>
      <c r="U399" s="504"/>
      <c r="V399" s="504"/>
      <c r="W399" s="504"/>
      <c r="X399" s="504"/>
      <c r="Y399" s="504"/>
      <c r="Z399" s="504"/>
      <c r="AA399" s="504"/>
      <c r="AB399" s="504"/>
      <c r="AC399" s="504"/>
      <c r="AD399" s="504"/>
      <c r="AE399" s="504"/>
      <c r="AF399" s="504"/>
      <c r="AG399" s="504"/>
      <c r="AH399" s="504"/>
      <c r="AI399" s="504"/>
      <c r="AJ399" s="504"/>
    </row>
    <row r="400" spans="1:38" s="505" customFormat="1" ht="32.25" hidden="1" thickBot="1" x14ac:dyDescent="0.3">
      <c r="A400" s="611"/>
      <c r="B400" s="623" t="s">
        <v>412</v>
      </c>
      <c r="C400" s="639" t="s">
        <v>182</v>
      </c>
      <c r="D400" s="614">
        <f>'Pl 2014-17 PFC'!D387</f>
        <v>84</v>
      </c>
      <c r="E400" s="614">
        <f>'Pl 2014-17 PFC'!E387</f>
        <v>200</v>
      </c>
      <c r="F400" s="614">
        <f>'Pl 2014-17 PFC'!F387</f>
        <v>200</v>
      </c>
      <c r="G400" s="614">
        <f>'Pl 2014-17 PFC'!G387</f>
        <v>200</v>
      </c>
      <c r="H400" s="614">
        <f>'Pl 2014-17 PFC'!H387</f>
        <v>200</v>
      </c>
      <c r="I400" s="614"/>
      <c r="J400" s="614"/>
      <c r="K400" s="504"/>
      <c r="L400" s="504"/>
      <c r="M400" s="504"/>
      <c r="N400" s="504"/>
      <c r="O400" s="504"/>
      <c r="P400" s="504"/>
      <c r="Q400" s="504"/>
      <c r="R400" s="504"/>
      <c r="S400" s="504"/>
      <c r="T400" s="504"/>
      <c r="U400" s="504"/>
      <c r="V400" s="504"/>
      <c r="W400" s="504"/>
      <c r="X400" s="504"/>
      <c r="Y400" s="504"/>
      <c r="Z400" s="504"/>
      <c r="AA400" s="504"/>
      <c r="AB400" s="504"/>
      <c r="AC400" s="504"/>
      <c r="AD400" s="504"/>
      <c r="AE400" s="504"/>
      <c r="AF400" s="504"/>
      <c r="AG400" s="504"/>
      <c r="AH400" s="504"/>
      <c r="AI400" s="504"/>
      <c r="AJ400" s="504"/>
    </row>
    <row r="401" spans="1:38" s="505" customFormat="1" ht="16.5" hidden="1" thickBot="1" x14ac:dyDescent="0.3">
      <c r="A401" s="611"/>
      <c r="B401" s="623" t="s">
        <v>170</v>
      </c>
      <c r="C401" s="639"/>
      <c r="D401" s="614">
        <f>'Pl 2014-17 PFC'!D388</f>
        <v>0</v>
      </c>
      <c r="E401" s="614">
        <f>'Pl 2014-17 PFC'!E388</f>
        <v>0</v>
      </c>
      <c r="F401" s="614">
        <f>'Pl 2014-17 PFC'!F388</f>
        <v>0</v>
      </c>
      <c r="G401" s="614">
        <f>'Pl 2014-17 PFC'!G388</f>
        <v>0</v>
      </c>
      <c r="H401" s="614">
        <f>'Pl 2014-17 PFC'!H388</f>
        <v>0</v>
      </c>
      <c r="I401" s="614"/>
      <c r="J401" s="614"/>
      <c r="K401" s="504"/>
      <c r="L401" s="504"/>
      <c r="M401" s="504"/>
      <c r="N401" s="504"/>
      <c r="O401" s="504"/>
      <c r="P401" s="504"/>
      <c r="Q401" s="504"/>
      <c r="R401" s="504"/>
      <c r="S401" s="504"/>
      <c r="T401" s="504"/>
      <c r="U401" s="504"/>
      <c r="V401" s="504"/>
      <c r="W401" s="504"/>
      <c r="X401" s="504"/>
      <c r="Y401" s="504"/>
      <c r="Z401" s="504"/>
      <c r="AA401" s="504"/>
      <c r="AB401" s="504"/>
      <c r="AC401" s="504"/>
      <c r="AD401" s="504"/>
      <c r="AE401" s="504"/>
      <c r="AF401" s="504"/>
      <c r="AG401" s="504"/>
      <c r="AH401" s="504"/>
      <c r="AI401" s="504"/>
      <c r="AJ401" s="504"/>
    </row>
    <row r="402" spans="1:38" s="505" customFormat="1" ht="16.5" hidden="1" thickBot="1" x14ac:dyDescent="0.3">
      <c r="A402" s="611"/>
      <c r="B402" s="623" t="s">
        <v>303</v>
      </c>
      <c r="C402" s="639"/>
      <c r="D402" s="614">
        <f>'Pl 2014-17 PFC'!D389</f>
        <v>0</v>
      </c>
      <c r="E402" s="614">
        <f>'Pl 2014-17 PFC'!E389</f>
        <v>0</v>
      </c>
      <c r="F402" s="614">
        <f>'Pl 2014-17 PFC'!F389</f>
        <v>0</v>
      </c>
      <c r="G402" s="614">
        <f>'Pl 2014-17 PFC'!G389</f>
        <v>0</v>
      </c>
      <c r="H402" s="614">
        <f>'Pl 2014-17 PFC'!H389</f>
        <v>0</v>
      </c>
      <c r="I402" s="614"/>
      <c r="J402" s="614"/>
      <c r="K402" s="504"/>
      <c r="L402" s="504"/>
      <c r="M402" s="504"/>
      <c r="N402" s="504"/>
      <c r="O402" s="504"/>
      <c r="P402" s="504"/>
      <c r="Q402" s="504"/>
      <c r="R402" s="504"/>
      <c r="S402" s="504"/>
      <c r="T402" s="504"/>
      <c r="U402" s="504"/>
      <c r="V402" s="504"/>
      <c r="W402" s="504"/>
      <c r="X402" s="504"/>
      <c r="Y402" s="504"/>
      <c r="Z402" s="504"/>
      <c r="AA402" s="504"/>
      <c r="AB402" s="504"/>
      <c r="AC402" s="504"/>
      <c r="AD402" s="504"/>
      <c r="AE402" s="504"/>
      <c r="AF402" s="504"/>
      <c r="AG402" s="504"/>
      <c r="AH402" s="504"/>
      <c r="AI402" s="504"/>
      <c r="AJ402" s="504"/>
    </row>
    <row r="403" spans="1:38" s="505" customFormat="1" ht="16.5" hidden="1" thickBot="1" x14ac:dyDescent="0.3">
      <c r="A403" s="611"/>
      <c r="B403" s="623" t="s">
        <v>168</v>
      </c>
      <c r="C403" s="639"/>
      <c r="D403" s="614">
        <f>'Pl 2014-17 PFC'!D390</f>
        <v>0</v>
      </c>
      <c r="E403" s="614">
        <f>'Pl 2014-17 PFC'!E390</f>
        <v>0</v>
      </c>
      <c r="F403" s="614">
        <f>'Pl 2014-17 PFC'!F390</f>
        <v>0</v>
      </c>
      <c r="G403" s="614">
        <f>'Pl 2014-17 PFC'!G390</f>
        <v>0</v>
      </c>
      <c r="H403" s="614">
        <f>'Pl 2014-17 PFC'!H390</f>
        <v>0</v>
      </c>
      <c r="I403" s="614"/>
      <c r="J403" s="614"/>
      <c r="K403" s="504"/>
      <c r="L403" s="504"/>
      <c r="M403" s="504"/>
      <c r="N403" s="504"/>
      <c r="O403" s="504"/>
      <c r="P403" s="504"/>
      <c r="Q403" s="504"/>
      <c r="R403" s="504"/>
      <c r="S403" s="504"/>
      <c r="T403" s="504"/>
      <c r="U403" s="504"/>
      <c r="V403" s="504"/>
      <c r="W403" s="504"/>
      <c r="X403" s="504"/>
      <c r="Y403" s="504"/>
      <c r="Z403" s="504"/>
      <c r="AA403" s="504"/>
      <c r="AB403" s="504"/>
      <c r="AC403" s="504"/>
      <c r="AD403" s="504"/>
      <c r="AE403" s="504"/>
      <c r="AF403" s="504"/>
      <c r="AG403" s="504"/>
      <c r="AH403" s="504"/>
      <c r="AI403" s="504"/>
      <c r="AJ403" s="504"/>
    </row>
    <row r="404" spans="1:38" s="505" customFormat="1" ht="16.5" hidden="1" thickBot="1" x14ac:dyDescent="0.3">
      <c r="A404" s="611"/>
      <c r="B404" s="623" t="s">
        <v>169</v>
      </c>
      <c r="C404" s="639"/>
      <c r="D404" s="614">
        <f>'Pl 2014-17 PFC'!D391</f>
        <v>0</v>
      </c>
      <c r="E404" s="614">
        <f>'Pl 2014-17 PFC'!E391</f>
        <v>0</v>
      </c>
      <c r="F404" s="614">
        <f>'Pl 2014-17 PFC'!F391</f>
        <v>0</v>
      </c>
      <c r="G404" s="614">
        <f>'Pl 2014-17 PFC'!G391</f>
        <v>0</v>
      </c>
      <c r="H404" s="614">
        <f>'Pl 2014-17 PFC'!H391</f>
        <v>0</v>
      </c>
      <c r="I404" s="614"/>
      <c r="J404" s="614"/>
      <c r="K404" s="504"/>
      <c r="L404" s="504"/>
      <c r="M404" s="504"/>
      <c r="N404" s="504"/>
      <c r="O404" s="504"/>
      <c r="P404" s="504"/>
      <c r="Q404" s="504"/>
      <c r="R404" s="504"/>
      <c r="S404" s="504"/>
      <c r="T404" s="504"/>
      <c r="U404" s="504"/>
      <c r="V404" s="504"/>
      <c r="W404" s="504"/>
      <c r="X404" s="504"/>
      <c r="Y404" s="504"/>
      <c r="Z404" s="504"/>
      <c r="AA404" s="504"/>
      <c r="AB404" s="504"/>
      <c r="AC404" s="504"/>
      <c r="AD404" s="504"/>
      <c r="AE404" s="504"/>
      <c r="AF404" s="504"/>
      <c r="AG404" s="504"/>
      <c r="AH404" s="504"/>
      <c r="AI404" s="504"/>
      <c r="AJ404" s="504"/>
    </row>
    <row r="405" spans="1:38" s="505" customFormat="1" ht="16.5" hidden="1" thickBot="1" x14ac:dyDescent="0.3">
      <c r="A405" s="611"/>
      <c r="B405" s="623" t="s">
        <v>176</v>
      </c>
      <c r="C405" s="639"/>
      <c r="D405" s="614">
        <f>'Pl 2014-17 PFC'!D392</f>
        <v>0</v>
      </c>
      <c r="E405" s="614">
        <f>'Pl 2014-17 PFC'!E392</f>
        <v>0</v>
      </c>
      <c r="F405" s="614">
        <f>'Pl 2014-17 PFC'!F392</f>
        <v>0</v>
      </c>
      <c r="G405" s="614">
        <f>'Pl 2014-17 PFC'!G392</f>
        <v>0</v>
      </c>
      <c r="H405" s="614">
        <f>'Pl 2014-17 PFC'!H392</f>
        <v>0</v>
      </c>
      <c r="I405" s="614"/>
      <c r="J405" s="614"/>
      <c r="K405" s="504"/>
      <c r="L405" s="504"/>
      <c r="M405" s="504"/>
      <c r="N405" s="504"/>
      <c r="O405" s="504"/>
      <c r="P405" s="504"/>
      <c r="Q405" s="504"/>
      <c r="R405" s="504"/>
      <c r="S405" s="504"/>
      <c r="T405" s="504"/>
      <c r="U405" s="504"/>
      <c r="V405" s="504"/>
      <c r="W405" s="504"/>
      <c r="X405" s="504"/>
      <c r="Y405" s="504"/>
      <c r="Z405" s="504"/>
      <c r="AA405" s="504"/>
      <c r="AB405" s="504"/>
      <c r="AC405" s="504"/>
      <c r="AD405" s="504"/>
      <c r="AE405" s="504"/>
      <c r="AF405" s="504"/>
      <c r="AG405" s="504"/>
      <c r="AH405" s="504"/>
      <c r="AI405" s="504"/>
      <c r="AJ405" s="504"/>
    </row>
    <row r="406" spans="1:38" s="505" customFormat="1" ht="16.5" hidden="1" thickBot="1" x14ac:dyDescent="0.3">
      <c r="A406" s="611"/>
      <c r="B406" s="623" t="s">
        <v>195</v>
      </c>
      <c r="C406" s="639"/>
      <c r="D406" s="614">
        <f>'Pl 2014-17 PFC'!D393</f>
        <v>0</v>
      </c>
      <c r="E406" s="614">
        <f>'Pl 2014-17 PFC'!E393</f>
        <v>0</v>
      </c>
      <c r="F406" s="614">
        <f>'Pl 2014-17 PFC'!F393</f>
        <v>0</v>
      </c>
      <c r="G406" s="614">
        <f>'Pl 2014-17 PFC'!G393</f>
        <v>0</v>
      </c>
      <c r="H406" s="614">
        <f>'Pl 2014-17 PFC'!H393</f>
        <v>0</v>
      </c>
      <c r="I406" s="614"/>
      <c r="J406" s="614"/>
      <c r="K406" s="504"/>
      <c r="L406" s="504"/>
      <c r="M406" s="504"/>
      <c r="N406" s="504"/>
      <c r="O406" s="504"/>
      <c r="P406" s="504"/>
      <c r="Q406" s="504"/>
      <c r="R406" s="504"/>
      <c r="S406" s="504"/>
      <c r="T406" s="504"/>
      <c r="U406" s="504"/>
      <c r="V406" s="504"/>
      <c r="W406" s="504"/>
      <c r="X406" s="504"/>
      <c r="Y406" s="504"/>
      <c r="Z406" s="504"/>
      <c r="AA406" s="504"/>
      <c r="AB406" s="504"/>
      <c r="AC406" s="504"/>
      <c r="AD406" s="504"/>
      <c r="AE406" s="504"/>
      <c r="AF406" s="504"/>
      <c r="AG406" s="504"/>
      <c r="AH406" s="504"/>
      <c r="AI406" s="504"/>
      <c r="AJ406" s="504"/>
    </row>
    <row r="407" spans="1:38" s="505" customFormat="1" ht="16.5" hidden="1" thickBot="1" x14ac:dyDescent="0.3">
      <c r="A407" s="611"/>
      <c r="B407" s="623" t="s">
        <v>174</v>
      </c>
      <c r="C407" s="639"/>
      <c r="D407" s="614">
        <f>'Pl 2014-17 PFC'!D394</f>
        <v>0</v>
      </c>
      <c r="E407" s="614">
        <f>'Pl 2014-17 PFC'!E394</f>
        <v>0</v>
      </c>
      <c r="F407" s="614">
        <f>'Pl 2014-17 PFC'!F394</f>
        <v>0</v>
      </c>
      <c r="G407" s="614">
        <f>'Pl 2014-17 PFC'!G394</f>
        <v>0</v>
      </c>
      <c r="H407" s="614">
        <f>'Pl 2014-17 PFC'!H394</f>
        <v>0</v>
      </c>
      <c r="I407" s="614"/>
      <c r="J407" s="614"/>
      <c r="K407" s="504"/>
      <c r="L407" s="504"/>
      <c r="M407" s="504"/>
      <c r="N407" s="504"/>
      <c r="O407" s="504"/>
      <c r="P407" s="504"/>
      <c r="Q407" s="504"/>
      <c r="R407" s="504"/>
      <c r="S407" s="504"/>
      <c r="T407" s="504"/>
      <c r="U407" s="504"/>
      <c r="V407" s="504"/>
      <c r="W407" s="504"/>
      <c r="X407" s="504"/>
      <c r="Y407" s="504"/>
      <c r="Z407" s="504"/>
      <c r="AA407" s="504"/>
      <c r="AB407" s="504"/>
      <c r="AC407" s="504"/>
      <c r="AD407" s="504"/>
      <c r="AE407" s="504"/>
      <c r="AF407" s="504"/>
      <c r="AG407" s="504"/>
      <c r="AH407" s="504"/>
      <c r="AI407" s="504"/>
      <c r="AJ407" s="504"/>
    </row>
    <row r="408" spans="1:38" s="505" customFormat="1" ht="16.5" hidden="1" thickBot="1" x14ac:dyDescent="0.3">
      <c r="A408" s="611"/>
      <c r="B408" s="623" t="s">
        <v>172</v>
      </c>
      <c r="C408" s="639"/>
      <c r="D408" s="614">
        <f>'Pl 2014-17 PFC'!D395</f>
        <v>0</v>
      </c>
      <c r="E408" s="614">
        <f>'Pl 2014-17 PFC'!E395</f>
        <v>0</v>
      </c>
      <c r="F408" s="614">
        <f>'Pl 2014-17 PFC'!F395</f>
        <v>0</v>
      </c>
      <c r="G408" s="614">
        <f>'Pl 2014-17 PFC'!G395</f>
        <v>0</v>
      </c>
      <c r="H408" s="614">
        <f>'Pl 2014-17 PFC'!H395</f>
        <v>0</v>
      </c>
      <c r="I408" s="614"/>
      <c r="J408" s="614"/>
      <c r="K408" s="504"/>
      <c r="L408" s="504"/>
      <c r="M408" s="504"/>
      <c r="N408" s="504"/>
      <c r="O408" s="504"/>
      <c r="P408" s="504"/>
      <c r="Q408" s="504"/>
      <c r="R408" s="504"/>
      <c r="S408" s="504"/>
      <c r="T408" s="504"/>
      <c r="U408" s="504"/>
      <c r="V408" s="504"/>
      <c r="W408" s="504"/>
      <c r="X408" s="504"/>
      <c r="Y408" s="504"/>
      <c r="Z408" s="504"/>
      <c r="AA408" s="504"/>
      <c r="AB408" s="504"/>
      <c r="AC408" s="504"/>
      <c r="AD408" s="504"/>
      <c r="AE408" s="504"/>
      <c r="AF408" s="504"/>
      <c r="AG408" s="504"/>
      <c r="AH408" s="504"/>
      <c r="AI408" s="504"/>
      <c r="AJ408" s="504"/>
    </row>
    <row r="409" spans="1:38" s="505" customFormat="1" ht="16.5" hidden="1" thickBot="1" x14ac:dyDescent="0.3">
      <c r="A409" s="611"/>
      <c r="B409" s="623" t="s">
        <v>405</v>
      </c>
      <c r="C409" s="639"/>
      <c r="D409" s="614">
        <f>'Pl 2014-17 PFC'!D396</f>
        <v>0</v>
      </c>
      <c r="E409" s="614">
        <f>'Pl 2014-17 PFC'!E396</f>
        <v>0</v>
      </c>
      <c r="F409" s="614">
        <f>'Pl 2014-17 PFC'!F396</f>
        <v>0</v>
      </c>
      <c r="G409" s="614">
        <f>'Pl 2014-17 PFC'!G396</f>
        <v>0</v>
      </c>
      <c r="H409" s="614">
        <f>'Pl 2014-17 PFC'!H396</f>
        <v>0</v>
      </c>
      <c r="I409" s="614"/>
      <c r="J409" s="614"/>
      <c r="K409" s="504"/>
      <c r="L409" s="504"/>
      <c r="M409" s="504"/>
      <c r="N409" s="504"/>
      <c r="O409" s="504"/>
      <c r="P409" s="504"/>
      <c r="Q409" s="504"/>
      <c r="R409" s="504"/>
      <c r="S409" s="504"/>
      <c r="T409" s="504"/>
      <c r="U409" s="504"/>
      <c r="V409" s="504"/>
      <c r="W409" s="504"/>
      <c r="X409" s="504"/>
      <c r="Y409" s="504"/>
      <c r="Z409" s="504"/>
      <c r="AA409" s="504"/>
      <c r="AB409" s="504"/>
      <c r="AC409" s="504"/>
      <c r="AD409" s="504"/>
      <c r="AE409" s="504"/>
      <c r="AF409" s="504"/>
      <c r="AG409" s="504"/>
      <c r="AH409" s="504"/>
      <c r="AI409" s="504"/>
      <c r="AJ409" s="504"/>
    </row>
    <row r="410" spans="1:38" s="505" customFormat="1" ht="32.25" hidden="1" thickBot="1" x14ac:dyDescent="0.3">
      <c r="A410" s="611"/>
      <c r="B410" s="623" t="s">
        <v>413</v>
      </c>
      <c r="C410" s="639"/>
      <c r="D410" s="614">
        <f>'Pl 2014-17 PFC'!D397</f>
        <v>84</v>
      </c>
      <c r="E410" s="614">
        <f>'Pl 2014-17 PFC'!E397</f>
        <v>200</v>
      </c>
      <c r="F410" s="614">
        <f>'Pl 2014-17 PFC'!F397</f>
        <v>200</v>
      </c>
      <c r="G410" s="614">
        <f>'Pl 2014-17 PFC'!G397</f>
        <v>200</v>
      </c>
      <c r="H410" s="614">
        <f>'Pl 2014-17 PFC'!H397</f>
        <v>200</v>
      </c>
      <c r="I410" s="614"/>
      <c r="J410" s="614"/>
      <c r="K410" s="504"/>
      <c r="L410" s="504"/>
      <c r="M410" s="504"/>
      <c r="N410" s="504"/>
      <c r="O410" s="504"/>
      <c r="P410" s="504"/>
      <c r="Q410" s="504"/>
      <c r="R410" s="504"/>
      <c r="S410" s="504"/>
      <c r="T410" s="504"/>
      <c r="U410" s="504"/>
      <c r="V410" s="504"/>
      <c r="W410" s="504"/>
      <c r="X410" s="504"/>
      <c r="Y410" s="504"/>
      <c r="Z410" s="504"/>
      <c r="AA410" s="504"/>
      <c r="AB410" s="504"/>
      <c r="AC410" s="504"/>
      <c r="AD410" s="504"/>
      <c r="AE410" s="504"/>
      <c r="AF410" s="504"/>
      <c r="AG410" s="504"/>
      <c r="AH410" s="504"/>
      <c r="AI410" s="504"/>
      <c r="AJ410" s="504"/>
    </row>
    <row r="411" spans="1:38" s="505" customFormat="1" ht="16.5" hidden="1" thickBot="1" x14ac:dyDescent="0.3">
      <c r="A411" s="611"/>
      <c r="B411" s="623" t="s">
        <v>414</v>
      </c>
      <c r="C411" s="639"/>
      <c r="D411" s="614">
        <f>'Pl 2014-17 PFC'!D398</f>
        <v>0</v>
      </c>
      <c r="E411" s="614">
        <f>'Pl 2014-17 PFC'!E398</f>
        <v>0</v>
      </c>
      <c r="F411" s="614">
        <f>'Pl 2014-17 PFC'!F398</f>
        <v>0</v>
      </c>
      <c r="G411" s="614">
        <f>'Pl 2014-17 PFC'!G398</f>
        <v>0</v>
      </c>
      <c r="H411" s="614">
        <f>'Pl 2014-17 PFC'!H398</f>
        <v>0</v>
      </c>
      <c r="I411" s="614"/>
      <c r="J411" s="614"/>
      <c r="K411" s="504"/>
      <c r="L411" s="504"/>
      <c r="M411" s="504"/>
      <c r="N411" s="504"/>
      <c r="O411" s="504"/>
      <c r="P411" s="504"/>
      <c r="Q411" s="504"/>
      <c r="R411" s="504"/>
      <c r="S411" s="504"/>
      <c r="T411" s="504"/>
      <c r="U411" s="504"/>
      <c r="V411" s="504"/>
      <c r="W411" s="504"/>
      <c r="X411" s="504"/>
      <c r="Y411" s="504"/>
      <c r="Z411" s="504"/>
      <c r="AA411" s="504"/>
      <c r="AB411" s="504"/>
      <c r="AC411" s="504"/>
      <c r="AD411" s="504"/>
      <c r="AE411" s="504"/>
      <c r="AF411" s="504"/>
      <c r="AG411" s="504"/>
      <c r="AH411" s="504"/>
      <c r="AI411" s="504"/>
      <c r="AJ411" s="504"/>
    </row>
    <row r="412" spans="1:38" s="505" customFormat="1" ht="16.5" hidden="1" thickBot="1" x14ac:dyDescent="0.3">
      <c r="A412" s="611"/>
      <c r="B412" s="623" t="s">
        <v>198</v>
      </c>
      <c r="C412" s="639"/>
      <c r="D412" s="614">
        <f>'Pl 2014-17 PFC'!D399</f>
        <v>0</v>
      </c>
      <c r="E412" s="614">
        <f>'Pl 2014-17 PFC'!E399</f>
        <v>0</v>
      </c>
      <c r="F412" s="614">
        <f>'Pl 2014-17 PFC'!F399</f>
        <v>0</v>
      </c>
      <c r="G412" s="614">
        <f>'Pl 2014-17 PFC'!G399</f>
        <v>0</v>
      </c>
      <c r="H412" s="614">
        <f>'Pl 2014-17 PFC'!H399</f>
        <v>0</v>
      </c>
      <c r="I412" s="614"/>
      <c r="J412" s="614"/>
      <c r="K412" s="504"/>
      <c r="L412" s="504"/>
      <c r="M412" s="504"/>
      <c r="N412" s="504"/>
      <c r="O412" s="504"/>
      <c r="P412" s="504"/>
      <c r="Q412" s="504"/>
      <c r="R412" s="504"/>
      <c r="S412" s="504"/>
      <c r="T412" s="504"/>
      <c r="U412" s="504"/>
      <c r="V412" s="504"/>
      <c r="W412" s="504"/>
      <c r="X412" s="504"/>
      <c r="Y412" s="504"/>
      <c r="Z412" s="504"/>
      <c r="AA412" s="504"/>
      <c r="AB412" s="504"/>
      <c r="AC412" s="504"/>
      <c r="AD412" s="504"/>
      <c r="AE412" s="504"/>
      <c r="AF412" s="504"/>
      <c r="AG412" s="504"/>
      <c r="AH412" s="504"/>
      <c r="AI412" s="504"/>
      <c r="AJ412" s="504"/>
    </row>
    <row r="413" spans="1:38" s="505" customFormat="1" ht="16.5" hidden="1" thickBot="1" x14ac:dyDescent="0.3">
      <c r="A413" s="611"/>
      <c r="B413" s="623" t="s">
        <v>199</v>
      </c>
      <c r="C413" s="639"/>
      <c r="D413" s="614">
        <f>'Pl 2014-17 PFC'!D400</f>
        <v>0</v>
      </c>
      <c r="E413" s="614">
        <f>'Pl 2014-17 PFC'!E400</f>
        <v>0</v>
      </c>
      <c r="F413" s="614">
        <f>'Pl 2014-17 PFC'!F400</f>
        <v>0</v>
      </c>
      <c r="G413" s="614">
        <f>'Pl 2014-17 PFC'!G400</f>
        <v>0</v>
      </c>
      <c r="H413" s="614">
        <f>'Pl 2014-17 PFC'!H400</f>
        <v>0</v>
      </c>
      <c r="I413" s="614"/>
      <c r="J413" s="614"/>
      <c r="K413" s="504"/>
      <c r="L413" s="504"/>
      <c r="M413" s="504"/>
      <c r="N413" s="504"/>
      <c r="O413" s="504"/>
      <c r="P413" s="504"/>
      <c r="Q413" s="504"/>
      <c r="R413" s="504"/>
      <c r="S413" s="504"/>
      <c r="T413" s="504"/>
      <c r="U413" s="504"/>
      <c r="V413" s="504"/>
      <c r="W413" s="504"/>
      <c r="X413" s="504"/>
      <c r="Y413" s="504"/>
      <c r="Z413" s="504"/>
      <c r="AA413" s="504"/>
      <c r="AB413" s="504"/>
      <c r="AC413" s="504"/>
      <c r="AD413" s="504"/>
      <c r="AE413" s="504"/>
      <c r="AF413" s="504"/>
      <c r="AG413" s="504"/>
      <c r="AH413" s="504"/>
      <c r="AI413" s="504"/>
      <c r="AJ413" s="504"/>
    </row>
    <row r="414" spans="1:38" s="505" customFormat="1" ht="16.5" hidden="1" thickBot="1" x14ac:dyDescent="0.3">
      <c r="A414" s="611"/>
      <c r="B414" s="623"/>
      <c r="C414" s="639"/>
      <c r="D414" s="614">
        <f>'Pl 2014-17 PFC'!D401</f>
        <v>0</v>
      </c>
      <c r="E414" s="614">
        <f>'Pl 2014-17 PFC'!E401</f>
        <v>0</v>
      </c>
      <c r="F414" s="614">
        <f>'Pl 2014-17 PFC'!F401</f>
        <v>0</v>
      </c>
      <c r="G414" s="614">
        <f>'Pl 2014-17 PFC'!G401</f>
        <v>0</v>
      </c>
      <c r="H414" s="614">
        <f>'Pl 2014-17 PFC'!H401</f>
        <v>0</v>
      </c>
      <c r="I414" s="614"/>
      <c r="J414" s="614"/>
      <c r="K414" s="504"/>
      <c r="L414" s="504"/>
      <c r="M414" s="504"/>
      <c r="N414" s="504"/>
      <c r="O414" s="504"/>
      <c r="P414" s="504"/>
      <c r="Q414" s="504"/>
      <c r="R414" s="504"/>
      <c r="S414" s="504"/>
      <c r="T414" s="504"/>
      <c r="U414" s="504"/>
      <c r="V414" s="504"/>
      <c r="W414" s="504"/>
      <c r="X414" s="504"/>
      <c r="Y414" s="504"/>
      <c r="Z414" s="504"/>
      <c r="AA414" s="504"/>
      <c r="AB414" s="504"/>
      <c r="AC414" s="504"/>
      <c r="AD414" s="504"/>
      <c r="AE414" s="504"/>
      <c r="AF414" s="504"/>
      <c r="AG414" s="504"/>
      <c r="AH414" s="504"/>
      <c r="AI414" s="504"/>
      <c r="AJ414" s="504"/>
    </row>
    <row r="415" spans="1:38" s="615" customFormat="1" ht="16.5" hidden="1" thickBot="1" x14ac:dyDescent="0.3">
      <c r="A415" s="611" t="s">
        <v>23</v>
      </c>
      <c r="B415" s="623" t="s">
        <v>415</v>
      </c>
      <c r="C415" s="613" t="s">
        <v>87</v>
      </c>
      <c r="D415" s="614">
        <f>'Pl 2014-17 PFC'!D402</f>
        <v>4563</v>
      </c>
      <c r="E415" s="614">
        <f>'Pl 2014-17 PFC'!E402</f>
        <v>5161</v>
      </c>
      <c r="F415" s="614">
        <f>'Pl 2014-17 PFC'!F402</f>
        <v>5252</v>
      </c>
      <c r="G415" s="614">
        <f>'Pl 2014-17 PFC'!G402</f>
        <v>5345</v>
      </c>
      <c r="H415" s="614">
        <f>'Pl 2014-17 PFC'!H402</f>
        <v>5441</v>
      </c>
      <c r="I415" s="614"/>
      <c r="J415" s="614"/>
    </row>
    <row r="416" spans="1:38" s="616" customFormat="1" ht="32.25" hidden="1" thickBot="1" x14ac:dyDescent="0.3">
      <c r="A416" s="611" t="s">
        <v>25</v>
      </c>
      <c r="B416" s="623" t="s">
        <v>481</v>
      </c>
      <c r="C416" s="613"/>
      <c r="D416" s="614">
        <f>'Pl 2014-17 PFC'!D404</f>
        <v>950</v>
      </c>
      <c r="E416" s="614">
        <f>'Pl 2014-17 PFC'!E404</f>
        <v>1500</v>
      </c>
      <c r="F416" s="614">
        <f>'Pl 2014-17 PFC'!F404</f>
        <v>1500</v>
      </c>
      <c r="G416" s="614">
        <f>'Pl 2014-17 PFC'!G404</f>
        <v>1500</v>
      </c>
      <c r="H416" s="614">
        <f>'Pl 2014-17 PFC'!H404</f>
        <v>1500</v>
      </c>
      <c r="I416" s="614"/>
      <c r="J416" s="614"/>
      <c r="K416" s="615"/>
      <c r="L416" s="615"/>
      <c r="M416" s="615"/>
      <c r="N416" s="615"/>
      <c r="O416" s="615"/>
      <c r="P416" s="615"/>
      <c r="Q416" s="615"/>
      <c r="R416" s="615"/>
      <c r="S416" s="615"/>
      <c r="T416" s="615"/>
      <c r="U416" s="615"/>
      <c r="V416" s="615"/>
      <c r="W416" s="615"/>
      <c r="X416" s="615"/>
      <c r="Y416" s="615"/>
      <c r="Z416" s="615"/>
      <c r="AA416" s="615"/>
      <c r="AB416" s="615"/>
      <c r="AC416" s="615"/>
      <c r="AD416" s="615"/>
      <c r="AE416" s="615"/>
      <c r="AF416" s="615"/>
      <c r="AG416" s="615"/>
      <c r="AH416" s="615"/>
      <c r="AI416" s="615"/>
      <c r="AJ416" s="615"/>
      <c r="AK416" s="615"/>
      <c r="AL416" s="615"/>
    </row>
    <row r="417" spans="1:38" s="616" customFormat="1" ht="16.5" hidden="1" thickBot="1" x14ac:dyDescent="0.3">
      <c r="A417" s="611" t="s">
        <v>25</v>
      </c>
      <c r="B417" s="623" t="s">
        <v>482</v>
      </c>
      <c r="C417" s="613" t="s">
        <v>202</v>
      </c>
      <c r="D417" s="614">
        <f>'Pl 2014-17 PFC'!D403</f>
        <v>987</v>
      </c>
      <c r="E417" s="614">
        <f>'Pl 2014-17 PFC'!E403</f>
        <v>1500</v>
      </c>
      <c r="F417" s="614">
        <f>'Pl 2014-17 PFC'!F403</f>
        <v>1500</v>
      </c>
      <c r="G417" s="614">
        <f>'Pl 2014-17 PFC'!G403</f>
        <v>1500</v>
      </c>
      <c r="H417" s="614">
        <f>'Pl 2014-17 PFC'!H403</f>
        <v>1500</v>
      </c>
      <c r="I417" s="614"/>
      <c r="J417" s="614"/>
      <c r="K417" s="615"/>
      <c r="L417" s="615"/>
      <c r="M417" s="615"/>
      <c r="N417" s="615"/>
      <c r="O417" s="615"/>
      <c r="P417" s="615"/>
      <c r="Q417" s="615"/>
      <c r="R417" s="615"/>
      <c r="S417" s="615"/>
      <c r="T417" s="615"/>
      <c r="U417" s="615"/>
      <c r="V417" s="615"/>
      <c r="W417" s="615"/>
      <c r="X417" s="615"/>
      <c r="Y417" s="615"/>
      <c r="Z417" s="615"/>
      <c r="AA417" s="615"/>
      <c r="AB417" s="615"/>
      <c r="AC417" s="615"/>
      <c r="AD417" s="615"/>
      <c r="AE417" s="615"/>
      <c r="AF417" s="615"/>
      <c r="AG417" s="615"/>
      <c r="AH417" s="615"/>
      <c r="AI417" s="615"/>
      <c r="AJ417" s="615"/>
      <c r="AK417" s="615"/>
      <c r="AL417" s="615"/>
    </row>
    <row r="418" spans="1:38" s="616" customFormat="1" ht="32.25" hidden="1" thickBot="1" x14ac:dyDescent="0.3">
      <c r="A418" s="611"/>
      <c r="B418" s="623" t="s">
        <v>412</v>
      </c>
      <c r="C418" s="613" t="s">
        <v>202</v>
      </c>
      <c r="D418" s="614">
        <f>'Pl 2014-17 PFC'!D405</f>
        <v>37</v>
      </c>
      <c r="E418" s="614">
        <f>'Pl 2014-17 PFC'!E405</f>
        <v>0</v>
      </c>
      <c r="F418" s="614">
        <f>'Pl 2014-17 PFC'!F405</f>
        <v>0</v>
      </c>
      <c r="G418" s="614">
        <f>'Pl 2014-17 PFC'!G405</f>
        <v>0</v>
      </c>
      <c r="H418" s="614">
        <f>'Pl 2014-17 PFC'!H405</f>
        <v>0</v>
      </c>
      <c r="I418" s="614"/>
      <c r="J418" s="614"/>
      <c r="K418" s="615"/>
      <c r="L418" s="615"/>
      <c r="M418" s="615"/>
      <c r="N418" s="615"/>
      <c r="O418" s="615"/>
      <c r="P418" s="615"/>
      <c r="Q418" s="615"/>
      <c r="R418" s="615"/>
      <c r="S418" s="615"/>
      <c r="T418" s="615"/>
      <c r="U418" s="615"/>
      <c r="V418" s="615"/>
      <c r="W418" s="615"/>
      <c r="X418" s="615"/>
      <c r="Y418" s="615"/>
      <c r="Z418" s="615"/>
      <c r="AA418" s="615"/>
      <c r="AB418" s="615"/>
      <c r="AC418" s="615"/>
      <c r="AD418" s="615"/>
      <c r="AE418" s="615"/>
      <c r="AF418" s="615"/>
      <c r="AG418" s="615"/>
      <c r="AH418" s="615"/>
      <c r="AI418" s="615"/>
      <c r="AJ418" s="615"/>
      <c r="AK418" s="615"/>
      <c r="AL418" s="615"/>
    </row>
    <row r="419" spans="1:38" s="616" customFormat="1" ht="16.5" hidden="1" thickBot="1" x14ac:dyDescent="0.3">
      <c r="A419" s="611"/>
      <c r="B419" s="623" t="s">
        <v>166</v>
      </c>
      <c r="C419" s="613"/>
      <c r="D419" s="614">
        <f>'Pl 2014-17 PFC'!D406</f>
        <v>0</v>
      </c>
      <c r="E419" s="614">
        <f>'Pl 2014-17 PFC'!E406</f>
        <v>0</v>
      </c>
      <c r="F419" s="614">
        <f>'Pl 2014-17 PFC'!F406</f>
        <v>0</v>
      </c>
      <c r="G419" s="614">
        <f>'Pl 2014-17 PFC'!G406</f>
        <v>0</v>
      </c>
      <c r="H419" s="614">
        <f>'Pl 2014-17 PFC'!H406</f>
        <v>0</v>
      </c>
      <c r="I419" s="614"/>
      <c r="J419" s="614"/>
      <c r="K419" s="615"/>
      <c r="L419" s="615"/>
      <c r="M419" s="615"/>
      <c r="N419" s="615"/>
      <c r="O419" s="615"/>
      <c r="P419" s="615"/>
      <c r="Q419" s="615"/>
      <c r="R419" s="615"/>
      <c r="S419" s="615"/>
      <c r="T419" s="615"/>
      <c r="U419" s="615"/>
      <c r="V419" s="615"/>
      <c r="W419" s="615"/>
      <c r="X419" s="615"/>
      <c r="Y419" s="615"/>
      <c r="Z419" s="615"/>
      <c r="AA419" s="615"/>
      <c r="AB419" s="615"/>
      <c r="AC419" s="615"/>
      <c r="AD419" s="615"/>
      <c r="AE419" s="615"/>
      <c r="AF419" s="615"/>
      <c r="AG419" s="615"/>
      <c r="AH419" s="615"/>
      <c r="AI419" s="615"/>
      <c r="AJ419" s="615"/>
      <c r="AK419" s="615"/>
      <c r="AL419" s="615"/>
    </row>
    <row r="420" spans="1:38" s="616" customFormat="1" ht="16.5" hidden="1" thickBot="1" x14ac:dyDescent="0.3">
      <c r="A420" s="611"/>
      <c r="B420" s="623" t="s">
        <v>418</v>
      </c>
      <c r="C420" s="613"/>
      <c r="D420" s="614">
        <f>'Pl 2014-17 PFC'!D407</f>
        <v>0</v>
      </c>
      <c r="E420" s="614">
        <f>'Pl 2014-17 PFC'!E407</f>
        <v>0</v>
      </c>
      <c r="F420" s="614">
        <f>'Pl 2014-17 PFC'!F407</f>
        <v>0</v>
      </c>
      <c r="G420" s="614">
        <f>'Pl 2014-17 PFC'!G407</f>
        <v>0</v>
      </c>
      <c r="H420" s="614">
        <f>'Pl 2014-17 PFC'!H407</f>
        <v>0</v>
      </c>
      <c r="I420" s="614"/>
      <c r="J420" s="614"/>
      <c r="K420" s="615"/>
      <c r="L420" s="615"/>
      <c r="M420" s="615"/>
      <c r="N420" s="615"/>
      <c r="O420" s="615"/>
      <c r="P420" s="615"/>
      <c r="Q420" s="615"/>
      <c r="R420" s="615"/>
      <c r="S420" s="615"/>
      <c r="T420" s="615"/>
      <c r="U420" s="615"/>
      <c r="V420" s="615"/>
      <c r="W420" s="615"/>
      <c r="X420" s="615"/>
      <c r="Y420" s="615"/>
      <c r="Z420" s="615"/>
      <c r="AA420" s="615"/>
      <c r="AB420" s="615"/>
      <c r="AC420" s="615"/>
      <c r="AD420" s="615"/>
      <c r="AE420" s="615"/>
      <c r="AF420" s="615"/>
      <c r="AG420" s="615"/>
      <c r="AH420" s="615"/>
      <c r="AI420" s="615"/>
      <c r="AJ420" s="615"/>
      <c r="AK420" s="615"/>
      <c r="AL420" s="615"/>
    </row>
    <row r="421" spans="1:38" s="616" customFormat="1" ht="16.5" hidden="1" thickBot="1" x14ac:dyDescent="0.3">
      <c r="A421" s="611"/>
      <c r="B421" s="623" t="s">
        <v>164</v>
      </c>
      <c r="C421" s="613"/>
      <c r="D421" s="614">
        <f>'Pl 2014-17 PFC'!D408</f>
        <v>0</v>
      </c>
      <c r="E421" s="614">
        <f>'Pl 2014-17 PFC'!E408</f>
        <v>0</v>
      </c>
      <c r="F421" s="614">
        <f>'Pl 2014-17 PFC'!F408</f>
        <v>0</v>
      </c>
      <c r="G421" s="614">
        <f>'Pl 2014-17 PFC'!G408</f>
        <v>0</v>
      </c>
      <c r="H421" s="614">
        <f>'Pl 2014-17 PFC'!H408</f>
        <v>0</v>
      </c>
      <c r="I421" s="614"/>
      <c r="J421" s="614"/>
      <c r="K421" s="615"/>
      <c r="L421" s="615"/>
      <c r="M421" s="615"/>
      <c r="N421" s="615"/>
      <c r="O421" s="615"/>
      <c r="P421" s="615"/>
      <c r="Q421" s="615"/>
      <c r="R421" s="615"/>
      <c r="S421" s="615"/>
      <c r="T421" s="615"/>
      <c r="U421" s="615"/>
      <c r="V421" s="615"/>
      <c r="W421" s="615"/>
      <c r="X421" s="615"/>
      <c r="Y421" s="615"/>
      <c r="Z421" s="615"/>
      <c r="AA421" s="615"/>
      <c r="AB421" s="615"/>
      <c r="AC421" s="615"/>
      <c r="AD421" s="615"/>
      <c r="AE421" s="615"/>
      <c r="AF421" s="615"/>
      <c r="AG421" s="615"/>
      <c r="AH421" s="615"/>
      <c r="AI421" s="615"/>
      <c r="AJ421" s="615"/>
      <c r="AK421" s="615"/>
      <c r="AL421" s="615"/>
    </row>
    <row r="422" spans="1:38" s="616" customFormat="1" ht="16.5" hidden="1" thickBot="1" x14ac:dyDescent="0.3">
      <c r="A422" s="611"/>
      <c r="B422" s="623" t="s">
        <v>204</v>
      </c>
      <c r="C422" s="613"/>
      <c r="D422" s="614">
        <f>'Pl 2014-17 PFC'!D409</f>
        <v>7</v>
      </c>
      <c r="E422" s="614">
        <f>'Pl 2014-17 PFC'!E409</f>
        <v>0</v>
      </c>
      <c r="F422" s="614">
        <f>'Pl 2014-17 PFC'!F409</f>
        <v>0</v>
      </c>
      <c r="G422" s="614">
        <f>'Pl 2014-17 PFC'!G409</f>
        <v>0</v>
      </c>
      <c r="H422" s="614">
        <f>'Pl 2014-17 PFC'!H409</f>
        <v>0</v>
      </c>
      <c r="I422" s="614"/>
      <c r="J422" s="614"/>
      <c r="K422" s="615"/>
      <c r="L422" s="615"/>
      <c r="M422" s="615"/>
      <c r="N422" s="615"/>
      <c r="O422" s="615"/>
      <c r="P422" s="615"/>
      <c r="Q422" s="615"/>
      <c r="R422" s="615"/>
      <c r="S422" s="615"/>
      <c r="T422" s="615"/>
      <c r="U422" s="615"/>
      <c r="V422" s="615"/>
      <c r="W422" s="615"/>
      <c r="X422" s="615"/>
      <c r="Y422" s="615"/>
      <c r="Z422" s="615"/>
      <c r="AA422" s="615"/>
      <c r="AB422" s="615"/>
      <c r="AC422" s="615"/>
      <c r="AD422" s="615"/>
      <c r="AE422" s="615"/>
      <c r="AF422" s="615"/>
      <c r="AG422" s="615"/>
      <c r="AH422" s="615"/>
      <c r="AI422" s="615"/>
      <c r="AJ422" s="615"/>
      <c r="AK422" s="615"/>
      <c r="AL422" s="615"/>
    </row>
    <row r="423" spans="1:38" s="616" customFormat="1" ht="16.5" hidden="1" thickBot="1" x14ac:dyDescent="0.3">
      <c r="A423" s="611"/>
      <c r="B423" s="623" t="s">
        <v>419</v>
      </c>
      <c r="C423" s="613"/>
      <c r="D423" s="614">
        <f>'Pl 2014-17 PFC'!D410</f>
        <v>0</v>
      </c>
      <c r="E423" s="614">
        <f>'Pl 2014-17 PFC'!E410</f>
        <v>0</v>
      </c>
      <c r="F423" s="614">
        <f>'Pl 2014-17 PFC'!F410</f>
        <v>0</v>
      </c>
      <c r="G423" s="614">
        <f>'Pl 2014-17 PFC'!G410</f>
        <v>0</v>
      </c>
      <c r="H423" s="614">
        <f>'Pl 2014-17 PFC'!H410</f>
        <v>0</v>
      </c>
      <c r="I423" s="614"/>
      <c r="J423" s="614"/>
      <c r="K423" s="615"/>
      <c r="L423" s="615"/>
      <c r="M423" s="615"/>
      <c r="N423" s="615"/>
      <c r="O423" s="615"/>
      <c r="P423" s="615"/>
      <c r="Q423" s="615"/>
      <c r="R423" s="615"/>
      <c r="S423" s="615"/>
      <c r="T423" s="615"/>
      <c r="U423" s="615"/>
      <c r="V423" s="615"/>
      <c r="W423" s="615"/>
      <c r="X423" s="615"/>
      <c r="Y423" s="615"/>
      <c r="Z423" s="615"/>
      <c r="AA423" s="615"/>
      <c r="AB423" s="615"/>
      <c r="AC423" s="615"/>
      <c r="AD423" s="615"/>
      <c r="AE423" s="615"/>
      <c r="AF423" s="615"/>
      <c r="AG423" s="615"/>
      <c r="AH423" s="615"/>
      <c r="AI423" s="615"/>
      <c r="AJ423" s="615"/>
      <c r="AK423" s="615"/>
      <c r="AL423" s="615"/>
    </row>
    <row r="424" spans="1:38" s="616" customFormat="1" ht="16.5" hidden="1" thickBot="1" x14ac:dyDescent="0.3">
      <c r="A424" s="611"/>
      <c r="B424" s="623" t="s">
        <v>176</v>
      </c>
      <c r="C424" s="613"/>
      <c r="D424" s="614">
        <f>'Pl 2014-17 PFC'!D411</f>
        <v>30</v>
      </c>
      <c r="E424" s="614">
        <f>'Pl 2014-17 PFC'!E411</f>
        <v>0</v>
      </c>
      <c r="F424" s="614">
        <f>'Pl 2014-17 PFC'!F411</f>
        <v>0</v>
      </c>
      <c r="G424" s="614">
        <f>'Pl 2014-17 PFC'!G411</f>
        <v>0</v>
      </c>
      <c r="H424" s="614">
        <f>'Pl 2014-17 PFC'!H411</f>
        <v>0</v>
      </c>
      <c r="I424" s="614"/>
      <c r="J424" s="614"/>
      <c r="K424" s="615"/>
      <c r="L424" s="615"/>
      <c r="M424" s="615"/>
      <c r="N424" s="615"/>
      <c r="O424" s="615"/>
      <c r="P424" s="615"/>
      <c r="Q424" s="615"/>
      <c r="R424" s="615"/>
      <c r="S424" s="615"/>
      <c r="T424" s="615"/>
      <c r="U424" s="615"/>
      <c r="V424" s="615"/>
      <c r="W424" s="615"/>
      <c r="X424" s="615"/>
      <c r="Y424" s="615"/>
      <c r="Z424" s="615"/>
      <c r="AA424" s="615"/>
      <c r="AB424" s="615"/>
      <c r="AC424" s="615"/>
      <c r="AD424" s="615"/>
      <c r="AE424" s="615"/>
      <c r="AF424" s="615"/>
      <c r="AG424" s="615"/>
      <c r="AH424" s="615"/>
      <c r="AI424" s="615"/>
      <c r="AJ424" s="615"/>
      <c r="AK424" s="615"/>
      <c r="AL424" s="615"/>
    </row>
    <row r="425" spans="1:38" s="616" customFormat="1" ht="16.5" hidden="1" thickBot="1" x14ac:dyDescent="0.3">
      <c r="A425" s="611"/>
      <c r="B425" s="623" t="s">
        <v>171</v>
      </c>
      <c r="C425" s="613"/>
      <c r="D425" s="614">
        <f>'Pl 2014-17 PFC'!D412</f>
        <v>0</v>
      </c>
      <c r="E425" s="614">
        <f>'Pl 2014-17 PFC'!E412</f>
        <v>0</v>
      </c>
      <c r="F425" s="614">
        <f>'Pl 2014-17 PFC'!F412</f>
        <v>0</v>
      </c>
      <c r="G425" s="614">
        <f>'Pl 2014-17 PFC'!G412</f>
        <v>0</v>
      </c>
      <c r="H425" s="614">
        <f>'Pl 2014-17 PFC'!H412</f>
        <v>0</v>
      </c>
      <c r="I425" s="614"/>
      <c r="J425" s="614"/>
      <c r="K425" s="615"/>
      <c r="L425" s="615"/>
      <c r="M425" s="615"/>
      <c r="N425" s="615"/>
      <c r="O425" s="615"/>
      <c r="P425" s="615"/>
      <c r="Q425" s="615"/>
      <c r="R425" s="615"/>
      <c r="S425" s="615"/>
      <c r="T425" s="615"/>
      <c r="U425" s="615"/>
      <c r="V425" s="615"/>
      <c r="W425" s="615"/>
      <c r="X425" s="615"/>
      <c r="Y425" s="615"/>
      <c r="Z425" s="615"/>
      <c r="AA425" s="615"/>
      <c r="AB425" s="615"/>
      <c r="AC425" s="615"/>
      <c r="AD425" s="615"/>
      <c r="AE425" s="615"/>
      <c r="AF425" s="615"/>
      <c r="AG425" s="615"/>
      <c r="AH425" s="615"/>
      <c r="AI425" s="615"/>
      <c r="AJ425" s="615"/>
      <c r="AK425" s="615"/>
      <c r="AL425" s="615"/>
    </row>
    <row r="426" spans="1:38" s="616" customFormat="1" ht="16.5" hidden="1" thickBot="1" x14ac:dyDescent="0.3">
      <c r="A426" s="611"/>
      <c r="B426" s="623" t="s">
        <v>205</v>
      </c>
      <c r="C426" s="613"/>
      <c r="D426" s="614">
        <f>'Pl 2014-17 PFC'!D413</f>
        <v>0</v>
      </c>
      <c r="E426" s="614">
        <f>'Pl 2014-17 PFC'!E413</f>
        <v>0</v>
      </c>
      <c r="F426" s="614">
        <f>'Pl 2014-17 PFC'!F413</f>
        <v>0</v>
      </c>
      <c r="G426" s="614">
        <f>'Pl 2014-17 PFC'!G413</f>
        <v>0</v>
      </c>
      <c r="H426" s="614">
        <f>'Pl 2014-17 PFC'!H413</f>
        <v>0</v>
      </c>
      <c r="I426" s="614"/>
      <c r="J426" s="614"/>
      <c r="K426" s="615"/>
      <c r="L426" s="615"/>
      <c r="M426" s="615"/>
      <c r="N426" s="615"/>
      <c r="O426" s="615"/>
      <c r="P426" s="615"/>
      <c r="Q426" s="615"/>
      <c r="R426" s="615"/>
      <c r="S426" s="615"/>
      <c r="T426" s="615"/>
      <c r="U426" s="615"/>
      <c r="V426" s="615"/>
      <c r="W426" s="615"/>
      <c r="X426" s="615"/>
      <c r="Y426" s="615"/>
      <c r="Z426" s="615"/>
      <c r="AA426" s="615"/>
      <c r="AB426" s="615"/>
      <c r="AC426" s="615"/>
      <c r="AD426" s="615"/>
      <c r="AE426" s="615"/>
      <c r="AF426" s="615"/>
      <c r="AG426" s="615"/>
      <c r="AH426" s="615"/>
      <c r="AI426" s="615"/>
      <c r="AJ426" s="615"/>
      <c r="AK426" s="615"/>
      <c r="AL426" s="615"/>
    </row>
    <row r="427" spans="1:38" s="616" customFormat="1" ht="16.5" hidden="1" thickBot="1" x14ac:dyDescent="0.3">
      <c r="A427" s="611"/>
      <c r="B427" s="623" t="s">
        <v>334</v>
      </c>
      <c r="C427" s="613"/>
      <c r="D427" s="614">
        <f>'Pl 2014-17 PFC'!D414</f>
        <v>0</v>
      </c>
      <c r="E427" s="614">
        <f>'Pl 2014-17 PFC'!E414</f>
        <v>0</v>
      </c>
      <c r="F427" s="614">
        <f>'Pl 2014-17 PFC'!F414</f>
        <v>0</v>
      </c>
      <c r="G427" s="614">
        <f>'Pl 2014-17 PFC'!G414</f>
        <v>0</v>
      </c>
      <c r="H427" s="614">
        <f>'Pl 2014-17 PFC'!H414</f>
        <v>0</v>
      </c>
      <c r="I427" s="614"/>
      <c r="J427" s="614"/>
      <c r="K427" s="615"/>
      <c r="L427" s="615"/>
      <c r="M427" s="615"/>
      <c r="N427" s="615"/>
      <c r="O427" s="615"/>
      <c r="P427" s="615"/>
      <c r="Q427" s="615"/>
      <c r="R427" s="615"/>
      <c r="S427" s="615"/>
      <c r="T427" s="615"/>
      <c r="U427" s="615"/>
      <c r="V427" s="615"/>
      <c r="W427" s="615"/>
      <c r="X427" s="615"/>
      <c r="Y427" s="615"/>
      <c r="Z427" s="615"/>
      <c r="AA427" s="615"/>
      <c r="AB427" s="615"/>
      <c r="AC427" s="615"/>
      <c r="AD427" s="615"/>
      <c r="AE427" s="615"/>
      <c r="AF427" s="615"/>
      <c r="AG427" s="615"/>
      <c r="AH427" s="615"/>
      <c r="AI427" s="615"/>
      <c r="AJ427" s="615"/>
      <c r="AK427" s="615"/>
      <c r="AL427" s="615"/>
    </row>
    <row r="428" spans="1:38" s="616" customFormat="1" ht="16.5" hidden="1" thickBot="1" x14ac:dyDescent="0.3">
      <c r="A428" s="611"/>
      <c r="B428" s="623" t="s">
        <v>198</v>
      </c>
      <c r="C428" s="613"/>
      <c r="D428" s="614">
        <f>'Pl 2014-17 PFC'!D415</f>
        <v>0</v>
      </c>
      <c r="E428" s="614">
        <f>'Pl 2014-17 PFC'!E415</f>
        <v>0</v>
      </c>
      <c r="F428" s="614">
        <f>'Pl 2014-17 PFC'!F415</f>
        <v>0</v>
      </c>
      <c r="G428" s="614">
        <f>'Pl 2014-17 PFC'!G415</f>
        <v>0</v>
      </c>
      <c r="H428" s="614">
        <f>'Pl 2014-17 PFC'!H415</f>
        <v>0</v>
      </c>
      <c r="I428" s="614"/>
      <c r="J428" s="614"/>
      <c r="K428" s="615"/>
      <c r="L428" s="615"/>
      <c r="M428" s="615"/>
      <c r="N428" s="615"/>
      <c r="O428" s="615"/>
      <c r="P428" s="615"/>
      <c r="Q428" s="615"/>
      <c r="R428" s="615"/>
      <c r="S428" s="615"/>
      <c r="T428" s="615"/>
      <c r="U428" s="615"/>
      <c r="V428" s="615"/>
      <c r="W428" s="615"/>
      <c r="X428" s="615"/>
      <c r="Y428" s="615"/>
      <c r="Z428" s="615"/>
      <c r="AA428" s="615"/>
      <c r="AB428" s="615"/>
      <c r="AC428" s="615"/>
      <c r="AD428" s="615"/>
      <c r="AE428" s="615"/>
      <c r="AF428" s="615"/>
      <c r="AG428" s="615"/>
      <c r="AH428" s="615"/>
      <c r="AI428" s="615"/>
      <c r="AJ428" s="615"/>
      <c r="AK428" s="615"/>
      <c r="AL428" s="615"/>
    </row>
    <row r="429" spans="1:38" s="616" customFormat="1" ht="16.5" hidden="1" thickBot="1" x14ac:dyDescent="0.3">
      <c r="A429" s="611"/>
      <c r="B429" s="623"/>
      <c r="C429" s="613"/>
      <c r="D429" s="614"/>
      <c r="E429" s="614"/>
      <c r="F429" s="614"/>
      <c r="G429" s="614"/>
      <c r="H429" s="614"/>
      <c r="I429" s="614"/>
      <c r="J429" s="614"/>
      <c r="K429" s="615"/>
      <c r="L429" s="615"/>
      <c r="M429" s="615"/>
      <c r="N429" s="615"/>
      <c r="O429" s="615"/>
      <c r="P429" s="615"/>
      <c r="Q429" s="615"/>
      <c r="R429" s="615"/>
      <c r="S429" s="615"/>
      <c r="T429" s="615"/>
      <c r="U429" s="615"/>
      <c r="V429" s="615"/>
      <c r="W429" s="615"/>
      <c r="X429" s="615"/>
      <c r="Y429" s="615"/>
      <c r="Z429" s="615"/>
      <c r="AA429" s="615"/>
      <c r="AB429" s="615"/>
      <c r="AC429" s="615"/>
      <c r="AD429" s="615"/>
      <c r="AE429" s="615"/>
      <c r="AF429" s="615"/>
      <c r="AG429" s="615"/>
      <c r="AH429" s="615"/>
      <c r="AI429" s="615"/>
      <c r="AJ429" s="615"/>
      <c r="AK429" s="615"/>
      <c r="AL429" s="615"/>
    </row>
    <row r="430" spans="1:38" s="616" customFormat="1" ht="16.5" hidden="1" thickBot="1" x14ac:dyDescent="0.3">
      <c r="A430" s="611"/>
      <c r="B430" s="623"/>
      <c r="C430" s="613"/>
      <c r="D430" s="614"/>
      <c r="E430" s="614"/>
      <c r="F430" s="614"/>
      <c r="G430" s="614"/>
      <c r="H430" s="614"/>
      <c r="I430" s="614"/>
      <c r="J430" s="614"/>
      <c r="K430" s="615"/>
      <c r="L430" s="615"/>
      <c r="M430" s="615"/>
      <c r="N430" s="615"/>
      <c r="O430" s="615"/>
      <c r="P430" s="615"/>
      <c r="Q430" s="615"/>
      <c r="R430" s="615"/>
      <c r="S430" s="615"/>
      <c r="T430" s="615"/>
      <c r="U430" s="615"/>
      <c r="V430" s="615"/>
      <c r="W430" s="615"/>
      <c r="X430" s="615"/>
      <c r="Y430" s="615"/>
      <c r="Z430" s="615"/>
      <c r="AA430" s="615"/>
      <c r="AB430" s="615"/>
      <c r="AC430" s="615"/>
      <c r="AD430" s="615"/>
      <c r="AE430" s="615"/>
      <c r="AF430" s="615"/>
      <c r="AG430" s="615"/>
      <c r="AH430" s="615"/>
      <c r="AI430" s="615"/>
      <c r="AJ430" s="615"/>
      <c r="AK430" s="615"/>
      <c r="AL430" s="615"/>
    </row>
    <row r="431" spans="1:38" s="616" customFormat="1" ht="16.5" hidden="1" thickBot="1" x14ac:dyDescent="0.3">
      <c r="A431" s="611" t="s">
        <v>208</v>
      </c>
      <c r="B431" s="623" t="s">
        <v>209</v>
      </c>
      <c r="C431" s="613" t="s">
        <v>210</v>
      </c>
      <c r="D431" s="614">
        <f>'Pl 2014-17 PFC'!D418</f>
        <v>3576</v>
      </c>
      <c r="E431" s="614">
        <f>'Pl 2014-17 PFC'!E418</f>
        <v>3661</v>
      </c>
      <c r="F431" s="614">
        <f>'Pl 2014-17 PFC'!F418</f>
        <v>3752</v>
      </c>
      <c r="G431" s="614">
        <f>'Pl 2014-17 PFC'!G418</f>
        <v>3845</v>
      </c>
      <c r="H431" s="614">
        <f>'Pl 2014-17 PFC'!H418</f>
        <v>3941</v>
      </c>
      <c r="I431" s="614"/>
      <c r="J431" s="614"/>
      <c r="K431" s="615"/>
      <c r="L431" s="615"/>
      <c r="M431" s="615"/>
      <c r="N431" s="615"/>
      <c r="O431" s="615"/>
      <c r="P431" s="615"/>
      <c r="Q431" s="615"/>
      <c r="R431" s="615"/>
      <c r="S431" s="615"/>
      <c r="T431" s="615"/>
      <c r="U431" s="615"/>
      <c r="V431" s="615"/>
      <c r="W431" s="615"/>
      <c r="X431" s="615"/>
      <c r="Y431" s="615"/>
      <c r="Z431" s="615"/>
      <c r="AA431" s="615"/>
      <c r="AB431" s="615"/>
      <c r="AC431" s="615"/>
      <c r="AD431" s="615"/>
      <c r="AE431" s="615"/>
      <c r="AF431" s="615"/>
      <c r="AG431" s="615"/>
      <c r="AH431" s="615"/>
      <c r="AI431" s="615"/>
      <c r="AJ431" s="615"/>
      <c r="AK431" s="615"/>
      <c r="AL431" s="615"/>
    </row>
    <row r="432" spans="1:38" s="616" customFormat="1" ht="16.5" hidden="1" thickBot="1" x14ac:dyDescent="0.3">
      <c r="A432" s="611"/>
      <c r="B432" s="623" t="s">
        <v>211</v>
      </c>
      <c r="C432" s="613" t="s">
        <v>210</v>
      </c>
      <c r="D432" s="614">
        <f>'Pl 2014-17 PFC'!D419</f>
        <v>3576</v>
      </c>
      <c r="E432" s="614"/>
      <c r="F432" s="614"/>
      <c r="G432" s="614"/>
      <c r="H432" s="614"/>
      <c r="I432" s="614"/>
      <c r="J432" s="614"/>
      <c r="K432" s="615"/>
      <c r="L432" s="615"/>
      <c r="M432" s="615"/>
      <c r="N432" s="615"/>
      <c r="O432" s="615"/>
      <c r="P432" s="615"/>
      <c r="Q432" s="615"/>
      <c r="R432" s="615"/>
      <c r="S432" s="615"/>
      <c r="T432" s="615"/>
      <c r="U432" s="615"/>
      <c r="V432" s="615"/>
      <c r="W432" s="615"/>
      <c r="X432" s="615"/>
      <c r="Y432" s="615"/>
      <c r="Z432" s="615"/>
      <c r="AA432" s="615"/>
      <c r="AB432" s="615"/>
      <c r="AC432" s="615"/>
      <c r="AD432" s="615"/>
      <c r="AE432" s="615"/>
      <c r="AF432" s="615"/>
      <c r="AG432" s="615"/>
      <c r="AH432" s="615"/>
      <c r="AI432" s="615"/>
      <c r="AJ432" s="615"/>
      <c r="AK432" s="615"/>
      <c r="AL432" s="615"/>
    </row>
    <row r="433" spans="1:38" s="616" customFormat="1" ht="16.5" hidden="1" thickBot="1" x14ac:dyDescent="0.3">
      <c r="A433" s="611"/>
      <c r="B433" s="623"/>
      <c r="C433" s="613"/>
      <c r="D433" s="614"/>
      <c r="E433" s="614"/>
      <c r="F433" s="614"/>
      <c r="G433" s="614"/>
      <c r="H433" s="614"/>
      <c r="I433" s="614"/>
      <c r="J433" s="614"/>
      <c r="K433" s="615"/>
      <c r="L433" s="615"/>
      <c r="M433" s="615"/>
      <c r="N433" s="615"/>
      <c r="O433" s="615"/>
      <c r="P433" s="615"/>
      <c r="Q433" s="615"/>
      <c r="R433" s="615"/>
      <c r="S433" s="615"/>
      <c r="T433" s="615"/>
      <c r="U433" s="615"/>
      <c r="V433" s="615"/>
      <c r="W433" s="615"/>
      <c r="X433" s="615"/>
      <c r="Y433" s="615"/>
      <c r="Z433" s="615"/>
      <c r="AA433" s="615"/>
      <c r="AB433" s="615"/>
      <c r="AC433" s="615"/>
      <c r="AD433" s="615"/>
      <c r="AE433" s="615"/>
      <c r="AF433" s="615"/>
      <c r="AG433" s="615"/>
      <c r="AH433" s="615"/>
      <c r="AI433" s="615"/>
      <c r="AJ433" s="615"/>
      <c r="AK433" s="615"/>
      <c r="AL433" s="615"/>
    </row>
    <row r="434" spans="1:38" s="616" customFormat="1" ht="16.5" hidden="1" thickBot="1" x14ac:dyDescent="0.3">
      <c r="A434" s="611" t="s">
        <v>27</v>
      </c>
      <c r="B434" s="623" t="s">
        <v>212</v>
      </c>
      <c r="C434" s="613" t="s">
        <v>87</v>
      </c>
      <c r="D434" s="614">
        <f>'Pl 2014-17 PFC'!D421</f>
        <v>61494</v>
      </c>
      <c r="E434" s="614">
        <f>'Pl 2014-17 PFC'!E421</f>
        <v>60990</v>
      </c>
      <c r="F434" s="614">
        <f>'Pl 2014-17 PFC'!F421</f>
        <v>4409</v>
      </c>
      <c r="G434" s="614">
        <f>'Pl 2014-17 PFC'!G421</f>
        <v>0</v>
      </c>
      <c r="H434" s="614">
        <f>'Pl 2014-17 PFC'!H421</f>
        <v>0</v>
      </c>
      <c r="I434" s="614"/>
      <c r="J434" s="614"/>
      <c r="K434" s="615"/>
      <c r="L434" s="615"/>
      <c r="M434" s="615"/>
      <c r="N434" s="615"/>
      <c r="O434" s="615"/>
      <c r="P434" s="615"/>
      <c r="Q434" s="615"/>
      <c r="R434" s="615"/>
      <c r="S434" s="615"/>
      <c r="T434" s="615"/>
      <c r="U434" s="615"/>
      <c r="V434" s="615"/>
      <c r="W434" s="615"/>
      <c r="X434" s="615"/>
      <c r="Y434" s="615"/>
      <c r="Z434" s="615"/>
      <c r="AA434" s="615"/>
      <c r="AB434" s="615"/>
      <c r="AC434" s="615"/>
      <c r="AD434" s="615"/>
      <c r="AE434" s="615"/>
      <c r="AF434" s="615"/>
      <c r="AG434" s="615"/>
      <c r="AH434" s="615"/>
      <c r="AI434" s="615"/>
      <c r="AJ434" s="615"/>
      <c r="AK434" s="615"/>
      <c r="AL434" s="615"/>
    </row>
    <row r="435" spans="1:38" s="506" customFormat="1" ht="16.5" hidden="1" thickBot="1" x14ac:dyDescent="0.3">
      <c r="A435" s="611"/>
      <c r="B435" s="640" t="s">
        <v>147</v>
      </c>
      <c r="C435" s="639" t="s">
        <v>87</v>
      </c>
      <c r="D435" s="614">
        <f>'Pl 2014-17 PFC'!D422</f>
        <v>61494</v>
      </c>
      <c r="E435" s="641"/>
      <c r="F435" s="641"/>
      <c r="G435" s="641"/>
      <c r="H435" s="641"/>
      <c r="I435" s="641"/>
      <c r="J435" s="641"/>
      <c r="K435" s="504"/>
      <c r="L435" s="504"/>
      <c r="M435" s="504"/>
      <c r="N435" s="504"/>
      <c r="O435" s="504"/>
      <c r="P435" s="504"/>
      <c r="Q435" s="504"/>
      <c r="R435" s="504"/>
      <c r="S435" s="504"/>
      <c r="T435" s="504"/>
      <c r="U435" s="504"/>
      <c r="V435" s="504"/>
      <c r="W435" s="504"/>
      <c r="X435" s="504"/>
      <c r="Y435" s="504"/>
      <c r="Z435" s="504"/>
      <c r="AA435" s="504"/>
      <c r="AB435" s="504"/>
      <c r="AC435" s="504"/>
      <c r="AD435" s="504"/>
      <c r="AE435" s="504"/>
      <c r="AF435" s="504"/>
      <c r="AG435" s="504"/>
      <c r="AH435" s="504"/>
      <c r="AI435" s="504"/>
      <c r="AJ435" s="504"/>
      <c r="AK435" s="505"/>
      <c r="AL435" s="505"/>
    </row>
    <row r="436" spans="1:38" s="506" customFormat="1" ht="16.5" hidden="1" thickBot="1" x14ac:dyDescent="0.3">
      <c r="A436" s="611"/>
      <c r="B436" s="640" t="s">
        <v>213</v>
      </c>
      <c r="C436" s="639" t="s">
        <v>214</v>
      </c>
      <c r="D436" s="614">
        <f>'Pl 2014-17 PFC'!D423</f>
        <v>61494</v>
      </c>
      <c r="E436" s="641"/>
      <c r="F436" s="641"/>
      <c r="G436" s="641"/>
      <c r="H436" s="641"/>
      <c r="I436" s="641"/>
      <c r="J436" s="641"/>
      <c r="K436" s="504"/>
      <c r="L436" s="504"/>
      <c r="M436" s="504"/>
      <c r="N436" s="504"/>
      <c r="O436" s="504"/>
      <c r="P436" s="504"/>
      <c r="Q436" s="504"/>
      <c r="R436" s="504"/>
      <c r="S436" s="504"/>
      <c r="T436" s="504"/>
      <c r="U436" s="504"/>
      <c r="V436" s="504"/>
      <c r="W436" s="504"/>
      <c r="X436" s="504"/>
      <c r="Y436" s="504"/>
      <c r="Z436" s="504"/>
      <c r="AA436" s="504"/>
      <c r="AB436" s="504"/>
      <c r="AC436" s="504"/>
      <c r="AD436" s="504"/>
      <c r="AE436" s="504"/>
      <c r="AF436" s="504"/>
      <c r="AG436" s="504"/>
      <c r="AH436" s="504"/>
      <c r="AI436" s="504"/>
      <c r="AJ436" s="504"/>
      <c r="AK436" s="505"/>
      <c r="AL436" s="505"/>
    </row>
    <row r="437" spans="1:38" s="506" customFormat="1" ht="16.5" hidden="1" thickBot="1" x14ac:dyDescent="0.3">
      <c r="A437" s="611"/>
      <c r="B437" s="640" t="s">
        <v>215</v>
      </c>
      <c r="C437" s="639" t="s">
        <v>216</v>
      </c>
      <c r="D437" s="614">
        <f>'Pl 2014-17 PFC'!D424</f>
        <v>0</v>
      </c>
      <c r="E437" s="641"/>
      <c r="F437" s="641"/>
      <c r="G437" s="641"/>
      <c r="H437" s="641"/>
      <c r="I437" s="641"/>
      <c r="J437" s="641"/>
      <c r="K437" s="504"/>
      <c r="L437" s="504"/>
      <c r="M437" s="504"/>
      <c r="N437" s="504"/>
      <c r="O437" s="504"/>
      <c r="P437" s="504"/>
      <c r="Q437" s="504"/>
      <c r="R437" s="504"/>
      <c r="S437" s="504"/>
      <c r="T437" s="504"/>
      <c r="U437" s="504"/>
      <c r="V437" s="504"/>
      <c r="W437" s="504"/>
      <c r="X437" s="504"/>
      <c r="Y437" s="504"/>
      <c r="Z437" s="504"/>
      <c r="AA437" s="504"/>
      <c r="AB437" s="504"/>
      <c r="AC437" s="504"/>
      <c r="AD437" s="504"/>
      <c r="AE437" s="504"/>
      <c r="AF437" s="504"/>
      <c r="AG437" s="504"/>
      <c r="AH437" s="504"/>
      <c r="AI437" s="504"/>
      <c r="AJ437" s="504"/>
      <c r="AK437" s="505"/>
      <c r="AL437" s="505"/>
    </row>
    <row r="438" spans="1:38" s="506" customFormat="1" ht="16.5" hidden="1" thickBot="1" x14ac:dyDescent="0.3">
      <c r="A438" s="611"/>
      <c r="B438" s="640" t="s">
        <v>200</v>
      </c>
      <c r="C438" s="639" t="s">
        <v>483</v>
      </c>
      <c r="D438" s="614" t="str">
        <f t="shared" ref="D438:D458" si="58">"$'Pl 2014-17 PFC'.$#ODWOŁANIE$#ODWOŁANIE"</f>
        <v>$'Pl 2014-17 PFC'.$#ODWOŁANIE$#ODWOŁANIE</v>
      </c>
      <c r="E438" s="641"/>
      <c r="F438" s="641"/>
      <c r="G438" s="641"/>
      <c r="H438" s="641"/>
      <c r="I438" s="641"/>
      <c r="J438" s="641"/>
      <c r="K438" s="504"/>
      <c r="L438" s="504"/>
      <c r="M438" s="504"/>
      <c r="N438" s="504"/>
      <c r="O438" s="504"/>
      <c r="P438" s="504"/>
      <c r="Q438" s="504"/>
      <c r="R438" s="504"/>
      <c r="S438" s="504"/>
      <c r="T438" s="504"/>
      <c r="U438" s="504"/>
      <c r="V438" s="504"/>
      <c r="W438" s="504"/>
      <c r="X438" s="504"/>
      <c r="Y438" s="504"/>
      <c r="Z438" s="504"/>
      <c r="AA438" s="504"/>
      <c r="AB438" s="504"/>
      <c r="AC438" s="504"/>
      <c r="AD438" s="504"/>
      <c r="AE438" s="504"/>
      <c r="AF438" s="504"/>
      <c r="AG438" s="504"/>
      <c r="AH438" s="504"/>
      <c r="AI438" s="504"/>
      <c r="AJ438" s="504"/>
      <c r="AK438" s="505"/>
      <c r="AL438" s="505"/>
    </row>
    <row r="439" spans="1:38" s="506" customFormat="1" ht="16.5" hidden="1" thickBot="1" x14ac:dyDescent="0.3">
      <c r="A439" s="611"/>
      <c r="B439" s="640" t="s">
        <v>484</v>
      </c>
      <c r="C439" s="639" t="s">
        <v>485</v>
      </c>
      <c r="D439" s="614" t="str">
        <f t="shared" si="58"/>
        <v>$'Pl 2014-17 PFC'.$#ODWOŁANIE$#ODWOŁANIE</v>
      </c>
      <c r="E439" s="641"/>
      <c r="F439" s="641"/>
      <c r="G439" s="641"/>
      <c r="H439" s="641"/>
      <c r="I439" s="641"/>
      <c r="J439" s="641"/>
      <c r="K439" s="504"/>
      <c r="L439" s="504"/>
      <c r="M439" s="504"/>
      <c r="N439" s="504"/>
      <c r="O439" s="504"/>
      <c r="P439" s="504"/>
      <c r="Q439" s="504"/>
      <c r="R439" s="504"/>
      <c r="S439" s="504"/>
      <c r="T439" s="504"/>
      <c r="U439" s="504"/>
      <c r="V439" s="504"/>
      <c r="W439" s="504"/>
      <c r="X439" s="504"/>
      <c r="Y439" s="504"/>
      <c r="Z439" s="504"/>
      <c r="AA439" s="504"/>
      <c r="AB439" s="504"/>
      <c r="AC439" s="504"/>
      <c r="AD439" s="504"/>
      <c r="AE439" s="504"/>
      <c r="AF439" s="504"/>
      <c r="AG439" s="504"/>
      <c r="AH439" s="504"/>
      <c r="AI439" s="504"/>
      <c r="AJ439" s="504"/>
      <c r="AK439" s="505"/>
      <c r="AL439" s="505"/>
    </row>
    <row r="440" spans="1:38" s="506" customFormat="1" ht="16.5" hidden="1" thickBot="1" x14ac:dyDescent="0.3">
      <c r="A440" s="611"/>
      <c r="B440" s="640" t="s">
        <v>226</v>
      </c>
      <c r="C440" s="639" t="s">
        <v>486</v>
      </c>
      <c r="D440" s="614" t="str">
        <f t="shared" si="58"/>
        <v>$'Pl 2014-17 PFC'.$#ODWOŁANIE$#ODWOŁANIE</v>
      </c>
      <c r="E440" s="641"/>
      <c r="F440" s="641"/>
      <c r="G440" s="641"/>
      <c r="H440" s="641"/>
      <c r="I440" s="641"/>
      <c r="J440" s="641"/>
      <c r="K440" s="504"/>
      <c r="L440" s="504"/>
      <c r="M440" s="504"/>
      <c r="N440" s="504"/>
      <c r="O440" s="504"/>
      <c r="P440" s="504"/>
      <c r="Q440" s="504"/>
      <c r="R440" s="504"/>
      <c r="S440" s="504"/>
      <c r="T440" s="504"/>
      <c r="U440" s="504"/>
      <c r="V440" s="504"/>
      <c r="W440" s="504"/>
      <c r="X440" s="504"/>
      <c r="Y440" s="504"/>
      <c r="Z440" s="504"/>
      <c r="AA440" s="504"/>
      <c r="AB440" s="504"/>
      <c r="AC440" s="504"/>
      <c r="AD440" s="504"/>
      <c r="AE440" s="504"/>
      <c r="AF440" s="504"/>
      <c r="AG440" s="504"/>
      <c r="AH440" s="504"/>
      <c r="AI440" s="504"/>
      <c r="AJ440" s="504"/>
      <c r="AK440" s="505"/>
      <c r="AL440" s="505"/>
    </row>
    <row r="441" spans="1:38" s="506" customFormat="1" ht="16.5" hidden="1" thickBot="1" x14ac:dyDescent="0.3">
      <c r="A441" s="611"/>
      <c r="B441" s="640" t="s">
        <v>229</v>
      </c>
      <c r="C441" s="639" t="s">
        <v>487</v>
      </c>
      <c r="D441" s="614" t="str">
        <f t="shared" si="58"/>
        <v>$'Pl 2014-17 PFC'.$#ODWOŁANIE$#ODWOŁANIE</v>
      </c>
      <c r="E441" s="641"/>
      <c r="F441" s="641"/>
      <c r="G441" s="641"/>
      <c r="H441" s="641"/>
      <c r="I441" s="641"/>
      <c r="J441" s="641"/>
      <c r="K441" s="504"/>
      <c r="L441" s="504"/>
      <c r="M441" s="504"/>
      <c r="N441" s="504"/>
      <c r="O441" s="504"/>
      <c r="P441" s="504"/>
      <c r="Q441" s="504"/>
      <c r="R441" s="504"/>
      <c r="S441" s="504"/>
      <c r="T441" s="504"/>
      <c r="U441" s="504"/>
      <c r="V441" s="504"/>
      <c r="W441" s="504"/>
      <c r="X441" s="504"/>
      <c r="Y441" s="504"/>
      <c r="Z441" s="504"/>
      <c r="AA441" s="504"/>
      <c r="AB441" s="504"/>
      <c r="AC441" s="504"/>
      <c r="AD441" s="504"/>
      <c r="AE441" s="504"/>
      <c r="AF441" s="504"/>
      <c r="AG441" s="504"/>
      <c r="AH441" s="504"/>
      <c r="AI441" s="504"/>
      <c r="AJ441" s="504"/>
      <c r="AK441" s="505"/>
      <c r="AL441" s="505"/>
    </row>
    <row r="442" spans="1:38" s="506" customFormat="1" ht="16.5" hidden="1" thickBot="1" x14ac:dyDescent="0.3">
      <c r="A442" s="611"/>
      <c r="B442" s="640" t="s">
        <v>223</v>
      </c>
      <c r="C442" s="639" t="s">
        <v>488</v>
      </c>
      <c r="D442" s="614" t="str">
        <f t="shared" si="58"/>
        <v>$'Pl 2014-17 PFC'.$#ODWOŁANIE$#ODWOŁANIE</v>
      </c>
      <c r="E442" s="641"/>
      <c r="F442" s="641"/>
      <c r="G442" s="641"/>
      <c r="H442" s="641"/>
      <c r="I442" s="641"/>
      <c r="J442" s="641"/>
      <c r="K442" s="504"/>
      <c r="L442" s="504"/>
      <c r="M442" s="504"/>
      <c r="N442" s="504"/>
      <c r="O442" s="504"/>
      <c r="P442" s="504"/>
      <c r="Q442" s="504"/>
      <c r="R442" s="504"/>
      <c r="S442" s="504"/>
      <c r="T442" s="504"/>
      <c r="U442" s="504"/>
      <c r="V442" s="504"/>
      <c r="W442" s="504"/>
      <c r="X442" s="504"/>
      <c r="Y442" s="504"/>
      <c r="Z442" s="504"/>
      <c r="AA442" s="504"/>
      <c r="AB442" s="504"/>
      <c r="AC442" s="504"/>
      <c r="AD442" s="504"/>
      <c r="AE442" s="504"/>
      <c r="AF442" s="504"/>
      <c r="AG442" s="504"/>
      <c r="AH442" s="504"/>
      <c r="AI442" s="504"/>
      <c r="AJ442" s="504"/>
      <c r="AK442" s="505"/>
      <c r="AL442" s="505"/>
    </row>
    <row r="443" spans="1:38" s="506" customFormat="1" ht="16.5" hidden="1" thickBot="1" x14ac:dyDescent="0.3">
      <c r="A443" s="611"/>
      <c r="B443" s="640" t="s">
        <v>232</v>
      </c>
      <c r="C443" s="639" t="s">
        <v>87</v>
      </c>
      <c r="D443" s="614" t="str">
        <f t="shared" si="58"/>
        <v>$'Pl 2014-17 PFC'.$#ODWOŁANIE$#ODWOŁANIE</v>
      </c>
      <c r="E443" s="641"/>
      <c r="F443" s="641"/>
      <c r="G443" s="641"/>
      <c r="H443" s="641"/>
      <c r="I443" s="641"/>
      <c r="J443" s="641"/>
      <c r="K443" s="504"/>
      <c r="L443" s="504"/>
      <c r="M443" s="504"/>
      <c r="N443" s="504"/>
      <c r="O443" s="504"/>
      <c r="P443" s="504"/>
      <c r="Q443" s="504"/>
      <c r="R443" s="504"/>
      <c r="S443" s="504"/>
      <c r="T443" s="504"/>
      <c r="U443" s="504"/>
      <c r="V443" s="504"/>
      <c r="W443" s="504"/>
      <c r="X443" s="504"/>
      <c r="Y443" s="504"/>
      <c r="Z443" s="504"/>
      <c r="AA443" s="504"/>
      <c r="AB443" s="504"/>
      <c r="AC443" s="504"/>
      <c r="AD443" s="504"/>
      <c r="AE443" s="504"/>
      <c r="AF443" s="504"/>
      <c r="AG443" s="504"/>
      <c r="AH443" s="504"/>
      <c r="AI443" s="504"/>
      <c r="AJ443" s="504"/>
      <c r="AK443" s="505"/>
      <c r="AL443" s="505"/>
    </row>
    <row r="444" spans="1:38" s="506" customFormat="1" ht="16.5" hidden="1" thickBot="1" x14ac:dyDescent="0.3">
      <c r="A444" s="611"/>
      <c r="B444" s="640" t="s">
        <v>236</v>
      </c>
      <c r="C444" s="639" t="s">
        <v>489</v>
      </c>
      <c r="D444" s="614" t="str">
        <f t="shared" si="58"/>
        <v>$'Pl 2014-17 PFC'.$#ODWOŁANIE$#ODWOŁANIE</v>
      </c>
      <c r="E444" s="641"/>
      <c r="F444" s="641"/>
      <c r="G444" s="641"/>
      <c r="H444" s="641"/>
      <c r="I444" s="641"/>
      <c r="J444" s="641"/>
      <c r="K444" s="504"/>
      <c r="L444" s="504"/>
      <c r="M444" s="504"/>
      <c r="N444" s="504"/>
      <c r="O444" s="504"/>
      <c r="P444" s="504"/>
      <c r="Q444" s="504"/>
      <c r="R444" s="504"/>
      <c r="S444" s="504"/>
      <c r="T444" s="504"/>
      <c r="U444" s="504"/>
      <c r="V444" s="504"/>
      <c r="W444" s="504"/>
      <c r="X444" s="504"/>
      <c r="Y444" s="504"/>
      <c r="Z444" s="504"/>
      <c r="AA444" s="504"/>
      <c r="AB444" s="504"/>
      <c r="AC444" s="504"/>
      <c r="AD444" s="504"/>
      <c r="AE444" s="504"/>
      <c r="AF444" s="504"/>
      <c r="AG444" s="504"/>
      <c r="AH444" s="504"/>
      <c r="AI444" s="504"/>
      <c r="AJ444" s="504"/>
      <c r="AK444" s="505"/>
      <c r="AL444" s="505"/>
    </row>
    <row r="445" spans="1:38" s="506" customFormat="1" ht="16.5" hidden="1" thickBot="1" x14ac:dyDescent="0.3">
      <c r="A445" s="611"/>
      <c r="B445" s="640" t="s">
        <v>490</v>
      </c>
      <c r="C445" s="639" t="s">
        <v>491</v>
      </c>
      <c r="D445" s="614" t="str">
        <f t="shared" si="58"/>
        <v>$'Pl 2014-17 PFC'.$#ODWOŁANIE$#ODWOŁANIE</v>
      </c>
      <c r="E445" s="641"/>
      <c r="F445" s="641"/>
      <c r="G445" s="641"/>
      <c r="H445" s="641"/>
      <c r="I445" s="641"/>
      <c r="J445" s="641"/>
      <c r="K445" s="504"/>
      <c r="L445" s="504"/>
      <c r="M445" s="504"/>
      <c r="N445" s="504"/>
      <c r="O445" s="504"/>
      <c r="P445" s="504"/>
      <c r="Q445" s="504"/>
      <c r="R445" s="504"/>
      <c r="S445" s="504"/>
      <c r="T445" s="504"/>
      <c r="U445" s="504"/>
      <c r="V445" s="504"/>
      <c r="W445" s="504"/>
      <c r="X445" s="504"/>
      <c r="Y445" s="504"/>
      <c r="Z445" s="504"/>
      <c r="AA445" s="504"/>
      <c r="AB445" s="504"/>
      <c r="AC445" s="504"/>
      <c r="AD445" s="504"/>
      <c r="AE445" s="504"/>
      <c r="AF445" s="504"/>
      <c r="AG445" s="504"/>
      <c r="AH445" s="504"/>
      <c r="AI445" s="504"/>
      <c r="AJ445" s="504"/>
      <c r="AK445" s="505"/>
      <c r="AL445" s="505"/>
    </row>
    <row r="446" spans="1:38" s="506" customFormat="1" ht="16.5" hidden="1" thickBot="1" x14ac:dyDescent="0.3">
      <c r="A446" s="611"/>
      <c r="B446" s="640" t="s">
        <v>245</v>
      </c>
      <c r="C446" s="639" t="s">
        <v>492</v>
      </c>
      <c r="D446" s="614" t="str">
        <f t="shared" si="58"/>
        <v>$'Pl 2014-17 PFC'.$#ODWOŁANIE$#ODWOŁANIE</v>
      </c>
      <c r="E446" s="641"/>
      <c r="F446" s="641"/>
      <c r="G446" s="641"/>
      <c r="H446" s="641"/>
      <c r="I446" s="641"/>
      <c r="J446" s="641"/>
      <c r="K446" s="504"/>
      <c r="L446" s="504"/>
      <c r="M446" s="504"/>
      <c r="N446" s="504"/>
      <c r="O446" s="504"/>
      <c r="P446" s="504"/>
      <c r="Q446" s="504"/>
      <c r="R446" s="504"/>
      <c r="S446" s="504"/>
      <c r="T446" s="504"/>
      <c r="U446" s="504"/>
      <c r="V446" s="504"/>
      <c r="W446" s="504"/>
      <c r="X446" s="504"/>
      <c r="Y446" s="504"/>
      <c r="Z446" s="504"/>
      <c r="AA446" s="504"/>
      <c r="AB446" s="504"/>
      <c r="AC446" s="504"/>
      <c r="AD446" s="504"/>
      <c r="AE446" s="504"/>
      <c r="AF446" s="504"/>
      <c r="AG446" s="504"/>
      <c r="AH446" s="504"/>
      <c r="AI446" s="504"/>
      <c r="AJ446" s="504"/>
      <c r="AK446" s="505"/>
      <c r="AL446" s="505"/>
    </row>
    <row r="447" spans="1:38" s="506" customFormat="1" ht="16.5" hidden="1" thickBot="1" x14ac:dyDescent="0.3">
      <c r="A447" s="611"/>
      <c r="B447" s="640" t="s">
        <v>249</v>
      </c>
      <c r="C447" s="639" t="s">
        <v>493</v>
      </c>
      <c r="D447" s="614" t="str">
        <f t="shared" si="58"/>
        <v>$'Pl 2014-17 PFC'.$#ODWOŁANIE$#ODWOŁANIE</v>
      </c>
      <c r="E447" s="641"/>
      <c r="F447" s="641"/>
      <c r="G447" s="641"/>
      <c r="H447" s="641"/>
      <c r="I447" s="641"/>
      <c r="J447" s="641"/>
      <c r="K447" s="504"/>
      <c r="L447" s="504"/>
      <c r="M447" s="504"/>
      <c r="N447" s="504"/>
      <c r="O447" s="504"/>
      <c r="P447" s="504"/>
      <c r="Q447" s="504"/>
      <c r="R447" s="504"/>
      <c r="S447" s="504"/>
      <c r="T447" s="504"/>
      <c r="U447" s="504"/>
      <c r="V447" s="504"/>
      <c r="W447" s="504"/>
      <c r="X447" s="504"/>
      <c r="Y447" s="504"/>
      <c r="Z447" s="504"/>
      <c r="AA447" s="504"/>
      <c r="AB447" s="504"/>
      <c r="AC447" s="504"/>
      <c r="AD447" s="504"/>
      <c r="AE447" s="504"/>
      <c r="AF447" s="504"/>
      <c r="AG447" s="504"/>
      <c r="AH447" s="504"/>
      <c r="AI447" s="504"/>
      <c r="AJ447" s="504"/>
      <c r="AK447" s="505"/>
      <c r="AL447" s="505"/>
    </row>
    <row r="448" spans="1:38" s="506" customFormat="1" ht="16.5" hidden="1" thickBot="1" x14ac:dyDescent="0.3">
      <c r="A448" s="611"/>
      <c r="B448" s="640" t="s">
        <v>251</v>
      </c>
      <c r="C448" s="639" t="s">
        <v>494</v>
      </c>
      <c r="D448" s="614" t="str">
        <f t="shared" si="58"/>
        <v>$'Pl 2014-17 PFC'.$#ODWOŁANIE$#ODWOŁANIE</v>
      </c>
      <c r="E448" s="641"/>
      <c r="F448" s="641"/>
      <c r="G448" s="641"/>
      <c r="H448" s="641"/>
      <c r="I448" s="641"/>
      <c r="J448" s="641"/>
      <c r="K448" s="504"/>
      <c r="L448" s="504"/>
      <c r="M448" s="504"/>
      <c r="N448" s="504"/>
      <c r="O448" s="504"/>
      <c r="P448" s="504"/>
      <c r="Q448" s="504"/>
      <c r="R448" s="504"/>
      <c r="S448" s="504"/>
      <c r="T448" s="504"/>
      <c r="U448" s="504"/>
      <c r="V448" s="504"/>
      <c r="W448" s="504"/>
      <c r="X448" s="504"/>
      <c r="Y448" s="504"/>
      <c r="Z448" s="504"/>
      <c r="AA448" s="504"/>
      <c r="AB448" s="504"/>
      <c r="AC448" s="504"/>
      <c r="AD448" s="504"/>
      <c r="AE448" s="504"/>
      <c r="AF448" s="504"/>
      <c r="AG448" s="504"/>
      <c r="AH448" s="504"/>
      <c r="AI448" s="504"/>
      <c r="AJ448" s="504"/>
      <c r="AK448" s="505"/>
      <c r="AL448" s="505"/>
    </row>
    <row r="449" spans="1:38" s="506" customFormat="1" ht="16.5" hidden="1" thickBot="1" x14ac:dyDescent="0.3">
      <c r="A449" s="611"/>
      <c r="B449" s="640" t="s">
        <v>495</v>
      </c>
      <c r="C449" s="639" t="s">
        <v>496</v>
      </c>
      <c r="D449" s="614" t="str">
        <f t="shared" si="58"/>
        <v>$'Pl 2014-17 PFC'.$#ODWOŁANIE$#ODWOŁANIE</v>
      </c>
      <c r="E449" s="641"/>
      <c r="F449" s="641"/>
      <c r="G449" s="641"/>
      <c r="H449" s="641"/>
      <c r="I449" s="641"/>
      <c r="J449" s="641"/>
      <c r="K449" s="504"/>
      <c r="L449" s="504"/>
      <c r="M449" s="504"/>
      <c r="N449" s="504"/>
      <c r="O449" s="504"/>
      <c r="P449" s="504"/>
      <c r="Q449" s="504"/>
      <c r="R449" s="504"/>
      <c r="S449" s="504"/>
      <c r="T449" s="504"/>
      <c r="U449" s="504"/>
      <c r="V449" s="504"/>
      <c r="W449" s="504"/>
      <c r="X449" s="504"/>
      <c r="Y449" s="504"/>
      <c r="Z449" s="504"/>
      <c r="AA449" s="504"/>
      <c r="AB449" s="504"/>
      <c r="AC449" s="504"/>
      <c r="AD449" s="504"/>
      <c r="AE449" s="504"/>
      <c r="AF449" s="504"/>
      <c r="AG449" s="504"/>
      <c r="AH449" s="504"/>
      <c r="AI449" s="504"/>
      <c r="AJ449" s="504"/>
      <c r="AK449" s="505"/>
      <c r="AL449" s="505"/>
    </row>
    <row r="450" spans="1:38" s="506" customFormat="1" ht="16.5" hidden="1" thickBot="1" x14ac:dyDescent="0.3">
      <c r="A450" s="611"/>
      <c r="B450" s="640" t="s">
        <v>497</v>
      </c>
      <c r="C450" s="639" t="s">
        <v>498</v>
      </c>
      <c r="D450" s="614" t="str">
        <f t="shared" si="58"/>
        <v>$'Pl 2014-17 PFC'.$#ODWOŁANIE$#ODWOŁANIE</v>
      </c>
      <c r="E450" s="641"/>
      <c r="F450" s="641"/>
      <c r="G450" s="641"/>
      <c r="H450" s="641"/>
      <c r="I450" s="641"/>
      <c r="J450" s="641"/>
      <c r="K450" s="504"/>
      <c r="L450" s="504"/>
      <c r="M450" s="504"/>
      <c r="N450" s="504"/>
      <c r="O450" s="504"/>
      <c r="P450" s="504"/>
      <c r="Q450" s="504"/>
      <c r="R450" s="504"/>
      <c r="S450" s="504"/>
      <c r="T450" s="504"/>
      <c r="U450" s="504"/>
      <c r="V450" s="504"/>
      <c r="W450" s="504"/>
      <c r="X450" s="504"/>
      <c r="Y450" s="504"/>
      <c r="Z450" s="504"/>
      <c r="AA450" s="504"/>
      <c r="AB450" s="504"/>
      <c r="AC450" s="504"/>
      <c r="AD450" s="504"/>
      <c r="AE450" s="504"/>
      <c r="AF450" s="504"/>
      <c r="AG450" s="504"/>
      <c r="AH450" s="504"/>
      <c r="AI450" s="504"/>
      <c r="AJ450" s="504"/>
      <c r="AK450" s="505"/>
      <c r="AL450" s="505"/>
    </row>
    <row r="451" spans="1:38" s="506" customFormat="1" ht="16.5" hidden="1" thickBot="1" x14ac:dyDescent="0.3">
      <c r="A451" s="611"/>
      <c r="B451" s="640" t="s">
        <v>499</v>
      </c>
      <c r="C451" s="639" t="s">
        <v>500</v>
      </c>
      <c r="D451" s="614" t="str">
        <f t="shared" si="58"/>
        <v>$'Pl 2014-17 PFC'.$#ODWOŁANIE$#ODWOŁANIE</v>
      </c>
      <c r="E451" s="641"/>
      <c r="F451" s="641"/>
      <c r="G451" s="641"/>
      <c r="H451" s="641"/>
      <c r="I451" s="641"/>
      <c r="J451" s="641"/>
      <c r="K451" s="504"/>
      <c r="L451" s="504"/>
      <c r="M451" s="504"/>
      <c r="N451" s="504"/>
      <c r="O451" s="504"/>
      <c r="P451" s="504"/>
      <c r="Q451" s="504"/>
      <c r="R451" s="504"/>
      <c r="S451" s="504"/>
      <c r="T451" s="504"/>
      <c r="U451" s="504"/>
      <c r="V451" s="504"/>
      <c r="W451" s="504"/>
      <c r="X451" s="504"/>
      <c r="Y451" s="504"/>
      <c r="Z451" s="504"/>
      <c r="AA451" s="504"/>
      <c r="AB451" s="504"/>
      <c r="AC451" s="504"/>
      <c r="AD451" s="504"/>
      <c r="AE451" s="504"/>
      <c r="AF451" s="504"/>
      <c r="AG451" s="504"/>
      <c r="AH451" s="504"/>
      <c r="AI451" s="504"/>
      <c r="AJ451" s="504"/>
      <c r="AK451" s="505"/>
      <c r="AL451" s="505"/>
    </row>
    <row r="452" spans="1:38" s="506" customFormat="1" ht="16.5" hidden="1" thickBot="1" x14ac:dyDescent="0.3">
      <c r="A452" s="611"/>
      <c r="B452" s="640" t="s">
        <v>71</v>
      </c>
      <c r="C452" s="639" t="s">
        <v>501</v>
      </c>
      <c r="D452" s="614" t="str">
        <f t="shared" si="58"/>
        <v>$'Pl 2014-17 PFC'.$#ODWOŁANIE$#ODWOŁANIE</v>
      </c>
      <c r="E452" s="641"/>
      <c r="F452" s="641"/>
      <c r="G452" s="641"/>
      <c r="H452" s="641"/>
      <c r="I452" s="641"/>
      <c r="J452" s="641"/>
      <c r="K452" s="504"/>
      <c r="L452" s="504"/>
      <c r="M452" s="504"/>
      <c r="N452" s="504"/>
      <c r="O452" s="504"/>
      <c r="P452" s="504"/>
      <c r="Q452" s="504"/>
      <c r="R452" s="504"/>
      <c r="S452" s="504"/>
      <c r="T452" s="504"/>
      <c r="U452" s="504"/>
      <c r="V452" s="504"/>
      <c r="W452" s="504"/>
      <c r="X452" s="504"/>
      <c r="Y452" s="504"/>
      <c r="Z452" s="504"/>
      <c r="AA452" s="504"/>
      <c r="AB452" s="504"/>
      <c r="AC452" s="504"/>
      <c r="AD452" s="504"/>
      <c r="AE452" s="504"/>
      <c r="AF452" s="504"/>
      <c r="AG452" s="504"/>
      <c r="AH452" s="504"/>
      <c r="AI452" s="504"/>
      <c r="AJ452" s="504"/>
      <c r="AK452" s="505"/>
      <c r="AL452" s="505"/>
    </row>
    <row r="453" spans="1:38" s="506" customFormat="1" ht="16.5" hidden="1" thickBot="1" x14ac:dyDescent="0.3">
      <c r="A453" s="611"/>
      <c r="B453" s="640" t="s">
        <v>447</v>
      </c>
      <c r="C453" s="639" t="s">
        <v>502</v>
      </c>
      <c r="D453" s="614" t="str">
        <f t="shared" si="58"/>
        <v>$'Pl 2014-17 PFC'.$#ODWOŁANIE$#ODWOŁANIE</v>
      </c>
      <c r="E453" s="641"/>
      <c r="F453" s="641"/>
      <c r="G453" s="641"/>
      <c r="H453" s="641"/>
      <c r="I453" s="641"/>
      <c r="J453" s="641"/>
      <c r="K453" s="504"/>
      <c r="L453" s="504"/>
      <c r="M453" s="504"/>
      <c r="N453" s="504"/>
      <c r="O453" s="504"/>
      <c r="P453" s="504"/>
      <c r="Q453" s="504"/>
      <c r="R453" s="504"/>
      <c r="S453" s="504"/>
      <c r="T453" s="504"/>
      <c r="U453" s="504"/>
      <c r="V453" s="504"/>
      <c r="W453" s="504"/>
      <c r="X453" s="504"/>
      <c r="Y453" s="504"/>
      <c r="Z453" s="504"/>
      <c r="AA453" s="504"/>
      <c r="AB453" s="504"/>
      <c r="AC453" s="504"/>
      <c r="AD453" s="504"/>
      <c r="AE453" s="504"/>
      <c r="AF453" s="504"/>
      <c r="AG453" s="504"/>
      <c r="AH453" s="504"/>
      <c r="AI453" s="504"/>
      <c r="AJ453" s="504"/>
      <c r="AK453" s="505"/>
      <c r="AL453" s="505"/>
    </row>
    <row r="454" spans="1:38" s="506" customFormat="1" ht="16.5" hidden="1" thickBot="1" x14ac:dyDescent="0.3">
      <c r="A454" s="611"/>
      <c r="B454" s="640" t="s">
        <v>451</v>
      </c>
      <c r="C454" s="639" t="s">
        <v>503</v>
      </c>
      <c r="D454" s="614" t="str">
        <f t="shared" si="58"/>
        <v>$'Pl 2014-17 PFC'.$#ODWOŁANIE$#ODWOŁANIE</v>
      </c>
      <c r="E454" s="641"/>
      <c r="F454" s="641"/>
      <c r="G454" s="641"/>
      <c r="H454" s="641"/>
      <c r="I454" s="641"/>
      <c r="J454" s="641"/>
      <c r="K454" s="504"/>
      <c r="L454" s="504"/>
      <c r="M454" s="504"/>
      <c r="N454" s="504"/>
      <c r="O454" s="504"/>
      <c r="P454" s="504"/>
      <c r="Q454" s="504"/>
      <c r="R454" s="504"/>
      <c r="S454" s="504"/>
      <c r="T454" s="504"/>
      <c r="U454" s="504"/>
      <c r="V454" s="504"/>
      <c r="W454" s="504"/>
      <c r="X454" s="504"/>
      <c r="Y454" s="504"/>
      <c r="Z454" s="504"/>
      <c r="AA454" s="504"/>
      <c r="AB454" s="504"/>
      <c r="AC454" s="504"/>
      <c r="AD454" s="504"/>
      <c r="AE454" s="504"/>
      <c r="AF454" s="504"/>
      <c r="AG454" s="504"/>
      <c r="AH454" s="504"/>
      <c r="AI454" s="504"/>
      <c r="AJ454" s="504"/>
      <c r="AK454" s="505"/>
      <c r="AL454" s="505"/>
    </row>
    <row r="455" spans="1:38" s="506" customFormat="1" ht="16.5" hidden="1" thickBot="1" x14ac:dyDescent="0.3">
      <c r="A455" s="611"/>
      <c r="B455" s="640" t="s">
        <v>504</v>
      </c>
      <c r="C455" s="639" t="s">
        <v>505</v>
      </c>
      <c r="D455" s="614" t="str">
        <f t="shared" si="58"/>
        <v>$'Pl 2014-17 PFC'.$#ODWOŁANIE$#ODWOŁANIE</v>
      </c>
      <c r="E455" s="641"/>
      <c r="F455" s="641"/>
      <c r="G455" s="641"/>
      <c r="H455" s="641"/>
      <c r="I455" s="641"/>
      <c r="J455" s="641"/>
      <c r="K455" s="504"/>
      <c r="L455" s="504"/>
      <c r="M455" s="504"/>
      <c r="N455" s="504"/>
      <c r="O455" s="504"/>
      <c r="P455" s="504"/>
      <c r="Q455" s="504"/>
      <c r="R455" s="504"/>
      <c r="S455" s="504"/>
      <c r="T455" s="504"/>
      <c r="U455" s="504"/>
      <c r="V455" s="504"/>
      <c r="W455" s="504"/>
      <c r="X455" s="504"/>
      <c r="Y455" s="504"/>
      <c r="Z455" s="504"/>
      <c r="AA455" s="504"/>
      <c r="AB455" s="504"/>
      <c r="AC455" s="504"/>
      <c r="AD455" s="504"/>
      <c r="AE455" s="504"/>
      <c r="AF455" s="504"/>
      <c r="AG455" s="504"/>
      <c r="AH455" s="504"/>
      <c r="AI455" s="504"/>
      <c r="AJ455" s="504"/>
      <c r="AK455" s="505"/>
      <c r="AL455" s="505"/>
    </row>
    <row r="456" spans="1:38" s="506" customFormat="1" ht="16.5" hidden="1" thickBot="1" x14ac:dyDescent="0.3">
      <c r="A456" s="611"/>
      <c r="B456" s="640" t="s">
        <v>295</v>
      </c>
      <c r="C456" s="639" t="s">
        <v>87</v>
      </c>
      <c r="D456" s="614" t="str">
        <f t="shared" si="58"/>
        <v>$'Pl 2014-17 PFC'.$#ODWOŁANIE$#ODWOŁANIE</v>
      </c>
      <c r="E456" s="641"/>
      <c r="F456" s="641"/>
      <c r="G456" s="641"/>
      <c r="H456" s="641"/>
      <c r="I456" s="641"/>
      <c r="J456" s="641"/>
      <c r="K456" s="504"/>
      <c r="L456" s="504"/>
      <c r="M456" s="504"/>
      <c r="N456" s="504"/>
      <c r="O456" s="504"/>
      <c r="P456" s="504"/>
      <c r="Q456" s="504"/>
      <c r="R456" s="504"/>
      <c r="S456" s="504"/>
      <c r="T456" s="504"/>
      <c r="U456" s="504"/>
      <c r="V456" s="504"/>
      <c r="W456" s="504"/>
      <c r="X456" s="504"/>
      <c r="Y456" s="504"/>
      <c r="Z456" s="504"/>
      <c r="AA456" s="504"/>
      <c r="AB456" s="504"/>
      <c r="AC456" s="504"/>
      <c r="AD456" s="504"/>
      <c r="AE456" s="504"/>
      <c r="AF456" s="504"/>
      <c r="AG456" s="504"/>
      <c r="AH456" s="504"/>
      <c r="AI456" s="504"/>
      <c r="AJ456" s="504"/>
      <c r="AK456" s="505"/>
      <c r="AL456" s="505"/>
    </row>
    <row r="457" spans="1:38" s="506" customFormat="1" ht="16.5" hidden="1" thickBot="1" x14ac:dyDescent="0.3">
      <c r="A457" s="611"/>
      <c r="B457" s="640" t="s">
        <v>297</v>
      </c>
      <c r="C457" s="639" t="s">
        <v>506</v>
      </c>
      <c r="D457" s="614" t="str">
        <f t="shared" si="58"/>
        <v>$'Pl 2014-17 PFC'.$#ODWOŁANIE$#ODWOŁANIE</v>
      </c>
      <c r="E457" s="641"/>
      <c r="F457" s="641"/>
      <c r="G457" s="641"/>
      <c r="H457" s="641"/>
      <c r="I457" s="641"/>
      <c r="J457" s="641"/>
      <c r="K457" s="504"/>
      <c r="L457" s="504"/>
      <c r="M457" s="504"/>
      <c r="N457" s="504"/>
      <c r="O457" s="504"/>
      <c r="P457" s="504"/>
      <c r="Q457" s="504"/>
      <c r="R457" s="504"/>
      <c r="S457" s="504"/>
      <c r="T457" s="504"/>
      <c r="U457" s="504"/>
      <c r="V457" s="504"/>
      <c r="W457" s="504"/>
      <c r="X457" s="504"/>
      <c r="Y457" s="504"/>
      <c r="Z457" s="504"/>
      <c r="AA457" s="504"/>
      <c r="AB457" s="504"/>
      <c r="AC457" s="504"/>
      <c r="AD457" s="504"/>
      <c r="AE457" s="504"/>
      <c r="AF457" s="504"/>
      <c r="AG457" s="504"/>
      <c r="AH457" s="504"/>
      <c r="AI457" s="504"/>
      <c r="AJ457" s="504"/>
      <c r="AK457" s="505"/>
      <c r="AL457" s="505"/>
    </row>
    <row r="458" spans="1:38" s="506" customFormat="1" ht="16.5" hidden="1" thickBot="1" x14ac:dyDescent="0.3">
      <c r="A458" s="611"/>
      <c r="B458" s="640" t="s">
        <v>306</v>
      </c>
      <c r="C458" s="639" t="s">
        <v>507</v>
      </c>
      <c r="D458" s="614" t="str">
        <f t="shared" si="58"/>
        <v>$'Pl 2014-17 PFC'.$#ODWOŁANIE$#ODWOŁANIE</v>
      </c>
      <c r="E458" s="641"/>
      <c r="F458" s="641"/>
      <c r="G458" s="641"/>
      <c r="H458" s="641"/>
      <c r="I458" s="641"/>
      <c r="J458" s="641"/>
      <c r="K458" s="504"/>
      <c r="L458" s="504"/>
      <c r="M458" s="504"/>
      <c r="N458" s="504"/>
      <c r="O458" s="504"/>
      <c r="P458" s="504"/>
      <c r="Q458" s="504"/>
      <c r="R458" s="504"/>
      <c r="S458" s="504"/>
      <c r="T458" s="504"/>
      <c r="U458" s="504"/>
      <c r="V458" s="504"/>
      <c r="W458" s="504"/>
      <c r="X458" s="504"/>
      <c r="Y458" s="504"/>
      <c r="Z458" s="504"/>
      <c r="AA458" s="504"/>
      <c r="AB458" s="504"/>
      <c r="AC458" s="504"/>
      <c r="AD458" s="504"/>
      <c r="AE458" s="504"/>
      <c r="AF458" s="504"/>
      <c r="AG458" s="504"/>
      <c r="AH458" s="504"/>
      <c r="AI458" s="504"/>
      <c r="AJ458" s="504"/>
      <c r="AK458" s="505"/>
      <c r="AL458" s="505"/>
    </row>
    <row r="459" spans="1:38" s="643" customFormat="1" ht="16.5" hidden="1" thickBot="1" x14ac:dyDescent="0.3">
      <c r="A459" s="611"/>
      <c r="B459" s="640"/>
      <c r="C459" s="639"/>
      <c r="D459" s="614"/>
      <c r="E459" s="641"/>
      <c r="F459" s="641"/>
      <c r="G459" s="641"/>
      <c r="H459" s="641"/>
      <c r="I459" s="641"/>
      <c r="J459" s="641"/>
      <c r="K459" s="615"/>
      <c r="L459" s="615"/>
      <c r="M459" s="615"/>
      <c r="N459" s="615"/>
      <c r="O459" s="615"/>
      <c r="P459" s="615"/>
      <c r="Q459" s="615"/>
      <c r="R459" s="615"/>
      <c r="S459" s="615"/>
      <c r="T459" s="615"/>
      <c r="U459" s="615"/>
      <c r="V459" s="615"/>
      <c r="W459" s="615"/>
      <c r="X459" s="615"/>
      <c r="Y459" s="615"/>
      <c r="Z459" s="615"/>
      <c r="AA459" s="615"/>
      <c r="AB459" s="615"/>
      <c r="AC459" s="615"/>
      <c r="AD459" s="615"/>
      <c r="AE459" s="615"/>
      <c r="AF459" s="615"/>
      <c r="AG459" s="615"/>
      <c r="AH459" s="615"/>
      <c r="AI459" s="615"/>
      <c r="AJ459" s="615"/>
      <c r="AK459" s="642"/>
      <c r="AL459" s="642"/>
    </row>
    <row r="460" spans="1:38" s="343" customFormat="1" ht="16.5" hidden="1" thickBot="1" x14ac:dyDescent="0.3">
      <c r="A460" s="611" t="s">
        <v>29</v>
      </c>
      <c r="B460" s="622" t="s">
        <v>217</v>
      </c>
      <c r="C460" s="639" t="s">
        <v>87</v>
      </c>
      <c r="D460" s="614">
        <f>SUM(D462,D466,D468,D464,D470,D501)</f>
        <v>118267</v>
      </c>
      <c r="E460" s="614">
        <f>SUM(E462,E466,E468,E464,E470,E501)</f>
        <v>120901</v>
      </c>
      <c r="F460" s="614">
        <f>SUM(F462,F466,F468,F464,F470,F501)</f>
        <v>122777</v>
      </c>
      <c r="G460" s="614">
        <f>SUM(G462,G466,G468,G464,G470,G501)</f>
        <v>126288</v>
      </c>
      <c r="H460" s="614">
        <f>SUM(H462,H466,H468,H464,H470,H501)</f>
        <v>129191</v>
      </c>
      <c r="I460" s="614"/>
      <c r="J460" s="614"/>
      <c r="K460" s="645"/>
      <c r="L460" s="645"/>
      <c r="M460" s="645"/>
      <c r="N460" s="645"/>
      <c r="O460" s="645"/>
      <c r="P460" s="645"/>
      <c r="Q460" s="645"/>
      <c r="R460" s="645"/>
      <c r="S460" s="645"/>
      <c r="T460" s="645"/>
      <c r="U460" s="645"/>
      <c r="V460" s="645"/>
      <c r="W460" s="645"/>
      <c r="X460" s="645"/>
      <c r="Y460" s="645"/>
      <c r="Z460" s="645"/>
      <c r="AA460" s="645"/>
      <c r="AB460" s="645"/>
      <c r="AC460" s="645"/>
      <c r="AD460" s="645"/>
      <c r="AE460" s="645"/>
      <c r="AF460" s="645"/>
      <c r="AG460" s="645"/>
      <c r="AH460" s="645"/>
      <c r="AI460" s="645"/>
      <c r="AJ460" s="645"/>
      <c r="AK460" s="646"/>
      <c r="AL460" s="646"/>
    </row>
    <row r="461" spans="1:38" s="343" customFormat="1" ht="16.5" hidden="1" thickBot="1" x14ac:dyDescent="0.3">
      <c r="A461" s="611" t="s">
        <v>93</v>
      </c>
      <c r="B461" s="623" t="s">
        <v>218</v>
      </c>
      <c r="C461" s="639" t="s">
        <v>87</v>
      </c>
      <c r="D461" s="614">
        <f>SUM(D462,D464)</f>
        <v>53482</v>
      </c>
      <c r="E461" s="614">
        <f>SUM(E462,E464)</f>
        <v>53482</v>
      </c>
      <c r="F461" s="614">
        <f>SUM(F462,F464)</f>
        <v>54946</v>
      </c>
      <c r="G461" s="614">
        <f>SUM(G462,G464)</f>
        <v>56451</v>
      </c>
      <c r="H461" s="614">
        <f>SUM(H462,H464)</f>
        <v>57998</v>
      </c>
      <c r="I461" s="614"/>
      <c r="J461" s="614"/>
      <c r="K461" s="645"/>
      <c r="L461" s="645"/>
      <c r="M461" s="645"/>
      <c r="N461" s="645"/>
      <c r="O461" s="645"/>
      <c r="P461" s="645"/>
      <c r="Q461" s="645"/>
      <c r="R461" s="645"/>
      <c r="S461" s="645"/>
      <c r="T461" s="645"/>
      <c r="U461" s="645"/>
      <c r="V461" s="645"/>
      <c r="W461" s="645"/>
      <c r="X461" s="645"/>
      <c r="Y461" s="645"/>
      <c r="Z461" s="645"/>
      <c r="AA461" s="645"/>
      <c r="AB461" s="645"/>
      <c r="AC461" s="645"/>
      <c r="AD461" s="645"/>
      <c r="AE461" s="645"/>
      <c r="AF461" s="645"/>
      <c r="AG461" s="645"/>
      <c r="AH461" s="645"/>
      <c r="AI461" s="645"/>
      <c r="AJ461" s="645"/>
      <c r="AK461" s="646"/>
      <c r="AL461" s="646"/>
    </row>
    <row r="462" spans="1:38" s="343" customFormat="1" ht="16.5" hidden="1" thickBot="1" x14ac:dyDescent="0.3">
      <c r="A462" s="611" t="s">
        <v>219</v>
      </c>
      <c r="B462" s="647" t="s">
        <v>508</v>
      </c>
      <c r="C462" s="639" t="s">
        <v>221</v>
      </c>
      <c r="D462" s="614">
        <f>'Pl 2014-17 PFC'!D429</f>
        <v>52282</v>
      </c>
      <c r="E462" s="614">
        <f>'Pl 2014-17 PFC'!E429</f>
        <v>52282</v>
      </c>
      <c r="F462" s="614">
        <f>'Pl 2014-17 PFC'!F429</f>
        <v>53746</v>
      </c>
      <c r="G462" s="614">
        <f>'Pl 2014-17 PFC'!G429</f>
        <v>55251</v>
      </c>
      <c r="H462" s="614">
        <f>'Pl 2014-17 PFC'!H429</f>
        <v>56798</v>
      </c>
      <c r="I462" s="614"/>
      <c r="J462" s="614"/>
      <c r="K462" s="645"/>
      <c r="L462" s="645"/>
      <c r="M462" s="645"/>
      <c r="N462" s="645"/>
      <c r="O462" s="645"/>
      <c r="P462" s="645"/>
      <c r="Q462" s="645"/>
      <c r="R462" s="645"/>
      <c r="S462" s="645"/>
      <c r="T462" s="645"/>
      <c r="U462" s="645"/>
      <c r="V462" s="645"/>
      <c r="W462" s="645"/>
      <c r="X462" s="645"/>
      <c r="Y462" s="645"/>
      <c r="Z462" s="645"/>
      <c r="AA462" s="645"/>
      <c r="AB462" s="645"/>
      <c r="AC462" s="645"/>
      <c r="AD462" s="645"/>
      <c r="AE462" s="645"/>
      <c r="AF462" s="645"/>
      <c r="AG462" s="645"/>
      <c r="AH462" s="645"/>
      <c r="AI462" s="645"/>
      <c r="AJ462" s="645"/>
      <c r="AK462" s="646"/>
      <c r="AL462" s="646"/>
    </row>
    <row r="463" spans="1:38" s="649" customFormat="1" ht="16.5" hidden="1" thickBot="1" x14ac:dyDescent="0.3">
      <c r="A463" s="611"/>
      <c r="B463" s="647" t="s">
        <v>150</v>
      </c>
      <c r="C463" s="639" t="s">
        <v>221</v>
      </c>
      <c r="D463" s="614"/>
      <c r="E463" s="614"/>
      <c r="F463" s="614"/>
      <c r="G463" s="614"/>
      <c r="H463" s="614"/>
      <c r="I463" s="614"/>
      <c r="J463" s="614"/>
      <c r="K463" s="644"/>
      <c r="L463" s="648"/>
      <c r="M463" s="648"/>
      <c r="N463" s="648"/>
      <c r="O463" s="648"/>
      <c r="P463" s="648"/>
      <c r="Q463" s="648"/>
      <c r="R463" s="648"/>
      <c r="S463" s="648"/>
      <c r="T463" s="648"/>
      <c r="U463" s="648"/>
      <c r="V463" s="648"/>
      <c r="W463" s="648"/>
      <c r="X463" s="648"/>
      <c r="Y463" s="648"/>
      <c r="Z463" s="648"/>
      <c r="AA463" s="648"/>
      <c r="AB463" s="648"/>
      <c r="AC463" s="648"/>
      <c r="AD463" s="648"/>
      <c r="AE463" s="648"/>
      <c r="AF463" s="648"/>
      <c r="AG463" s="648"/>
      <c r="AH463" s="648"/>
      <c r="AI463" s="648"/>
      <c r="AJ463" s="648"/>
      <c r="AK463" s="648"/>
      <c r="AL463" s="648"/>
    </row>
    <row r="464" spans="1:38" s="343" customFormat="1" ht="16.5" hidden="1" thickBot="1" x14ac:dyDescent="0.3">
      <c r="A464" s="611" t="s">
        <v>222</v>
      </c>
      <c r="B464" s="647" t="s">
        <v>509</v>
      </c>
      <c r="C464" s="639" t="s">
        <v>224</v>
      </c>
      <c r="D464" s="614">
        <f>'Pl 2014-17 PFC'!D431</f>
        <v>1200</v>
      </c>
      <c r="E464" s="614">
        <f>'Pl 2014-17 PFC'!E431</f>
        <v>1200</v>
      </c>
      <c r="F464" s="614">
        <f>'Pl 2014-17 PFC'!F431</f>
        <v>1200</v>
      </c>
      <c r="G464" s="614">
        <f>'Pl 2014-17 PFC'!G431</f>
        <v>1200</v>
      </c>
      <c r="H464" s="614">
        <f>'Pl 2014-17 PFC'!H431</f>
        <v>1200</v>
      </c>
      <c r="I464" s="614"/>
      <c r="J464" s="614"/>
      <c r="K464" s="645"/>
      <c r="L464" s="645"/>
      <c r="M464" s="645"/>
      <c r="N464" s="645"/>
      <c r="O464" s="645"/>
      <c r="P464" s="645"/>
      <c r="Q464" s="645"/>
      <c r="R464" s="645"/>
      <c r="S464" s="645"/>
      <c r="T464" s="645"/>
      <c r="U464" s="645"/>
      <c r="V464" s="645"/>
      <c r="W464" s="645"/>
      <c r="X464" s="645"/>
      <c r="Y464" s="645"/>
      <c r="Z464" s="645"/>
      <c r="AA464" s="645"/>
      <c r="AB464" s="645"/>
      <c r="AC464" s="645"/>
      <c r="AD464" s="645"/>
      <c r="AE464" s="645"/>
      <c r="AF464" s="645"/>
      <c r="AG464" s="645"/>
      <c r="AH464" s="645"/>
      <c r="AI464" s="645"/>
      <c r="AJ464" s="645"/>
      <c r="AK464" s="646"/>
      <c r="AL464" s="646"/>
    </row>
    <row r="465" spans="1:38" s="649" customFormat="1" ht="16.5" hidden="1" thickBot="1" x14ac:dyDescent="0.3">
      <c r="A465" s="611"/>
      <c r="B465" s="623" t="s">
        <v>150</v>
      </c>
      <c r="C465" s="639" t="s">
        <v>224</v>
      </c>
      <c r="D465" s="614"/>
      <c r="E465" s="614"/>
      <c r="F465" s="614"/>
      <c r="G465" s="614"/>
      <c r="H465" s="614"/>
      <c r="I465" s="614"/>
      <c r="J465" s="614"/>
      <c r="K465" s="644"/>
      <c r="L465" s="650"/>
      <c r="M465" s="650"/>
      <c r="N465" s="650"/>
      <c r="O465" s="650"/>
      <c r="P465" s="648"/>
      <c r="Q465" s="648"/>
      <c r="R465" s="648"/>
      <c r="S465" s="648"/>
      <c r="T465" s="648"/>
      <c r="U465" s="648"/>
      <c r="V465" s="648"/>
      <c r="W465" s="648"/>
      <c r="X465" s="648"/>
      <c r="Y465" s="648"/>
      <c r="Z465" s="648"/>
      <c r="AA465" s="648"/>
      <c r="AB465" s="648"/>
      <c r="AC465" s="648"/>
      <c r="AD465" s="648"/>
      <c r="AE465" s="648"/>
      <c r="AF465" s="648"/>
      <c r="AG465" s="648"/>
      <c r="AH465" s="648"/>
      <c r="AI465" s="648"/>
      <c r="AJ465" s="648"/>
      <c r="AK465" s="648"/>
      <c r="AL465" s="648"/>
    </row>
    <row r="466" spans="1:38" s="343" customFormat="1" ht="16.5" hidden="1" thickBot="1" x14ac:dyDescent="0.3">
      <c r="A466" s="611" t="s">
        <v>95</v>
      </c>
      <c r="B466" s="623" t="s">
        <v>226</v>
      </c>
      <c r="C466" s="639" t="s">
        <v>227</v>
      </c>
      <c r="D466" s="614">
        <f>'Pl 2014-17 PFC'!D433</f>
        <v>9444</v>
      </c>
      <c r="E466" s="614">
        <f>'Pl 2014-17 PFC'!E433</f>
        <v>9392</v>
      </c>
      <c r="F466" s="614">
        <f>'Pl 2014-17 PFC'!F433</f>
        <v>9654</v>
      </c>
      <c r="G466" s="614">
        <f>'Pl 2014-17 PFC'!G433</f>
        <v>9924</v>
      </c>
      <c r="H466" s="614">
        <f>'Pl 2014-17 PFC'!H433</f>
        <v>10200</v>
      </c>
      <c r="I466" s="614"/>
      <c r="J466" s="614"/>
      <c r="K466" s="645"/>
      <c r="L466" s="645"/>
      <c r="M466" s="645"/>
      <c r="N466" s="645"/>
      <c r="O466" s="645"/>
      <c r="P466" s="645"/>
      <c r="Q466" s="645"/>
      <c r="R466" s="645"/>
      <c r="S466" s="645"/>
      <c r="T466" s="645"/>
      <c r="U466" s="645"/>
      <c r="V466" s="645"/>
      <c r="W466" s="645"/>
      <c r="X466" s="645"/>
      <c r="Y466" s="645"/>
      <c r="Z466" s="645"/>
      <c r="AA466" s="645"/>
      <c r="AB466" s="645"/>
      <c r="AC466" s="645"/>
      <c r="AD466" s="645"/>
      <c r="AE466" s="645"/>
      <c r="AF466" s="645"/>
      <c r="AG466" s="645"/>
      <c r="AH466" s="645"/>
      <c r="AI466" s="645"/>
      <c r="AJ466" s="645"/>
      <c r="AK466" s="646"/>
      <c r="AL466" s="646"/>
    </row>
    <row r="467" spans="1:38" s="649" customFormat="1" ht="16.5" hidden="1" thickBot="1" x14ac:dyDescent="0.3">
      <c r="A467" s="611"/>
      <c r="B467" s="623" t="s">
        <v>150</v>
      </c>
      <c r="C467" s="639" t="s">
        <v>227</v>
      </c>
      <c r="D467" s="614"/>
      <c r="E467" s="614"/>
      <c r="F467" s="614"/>
      <c r="G467" s="614"/>
      <c r="H467" s="614"/>
      <c r="I467" s="614"/>
      <c r="J467" s="614"/>
      <c r="K467" s="644"/>
      <c r="L467" s="648"/>
      <c r="M467" s="648"/>
      <c r="N467" s="648"/>
      <c r="O467" s="648"/>
      <c r="P467" s="648"/>
      <c r="Q467" s="648"/>
      <c r="R467" s="648"/>
      <c r="S467" s="648"/>
      <c r="T467" s="648"/>
      <c r="U467" s="648"/>
      <c r="V467" s="648"/>
      <c r="W467" s="648"/>
      <c r="X467" s="648"/>
      <c r="Y467" s="648"/>
      <c r="Z467" s="648"/>
      <c r="AA467" s="648"/>
      <c r="AB467" s="648"/>
      <c r="AC467" s="648"/>
      <c r="AD467" s="648"/>
      <c r="AE467" s="648"/>
      <c r="AF467" s="648"/>
      <c r="AG467" s="648"/>
      <c r="AH467" s="648"/>
      <c r="AI467" s="648"/>
      <c r="AJ467" s="648"/>
      <c r="AK467" s="648"/>
      <c r="AL467" s="648"/>
    </row>
    <row r="468" spans="1:38" s="343" customFormat="1" ht="16.5" hidden="1" thickBot="1" x14ac:dyDescent="0.3">
      <c r="A468" s="611" t="s">
        <v>225</v>
      </c>
      <c r="B468" s="623" t="s">
        <v>229</v>
      </c>
      <c r="C468" s="613" t="s">
        <v>230</v>
      </c>
      <c r="D468" s="614">
        <f>'Pl 2014-17 PFC'!D435</f>
        <v>1327</v>
      </c>
      <c r="E468" s="614">
        <f>'Pl 2014-17 PFC'!E435</f>
        <v>1311</v>
      </c>
      <c r="F468" s="614">
        <f>'Pl 2014-17 PFC'!F435</f>
        <v>1348</v>
      </c>
      <c r="G468" s="614">
        <f>'Pl 2014-17 PFC'!G435</f>
        <v>1386</v>
      </c>
      <c r="H468" s="614">
        <f>'Pl 2014-17 PFC'!H435</f>
        <v>1425</v>
      </c>
      <c r="I468" s="614"/>
      <c r="J468" s="614"/>
      <c r="K468" s="645"/>
      <c r="L468" s="645"/>
      <c r="M468" s="645"/>
      <c r="N468" s="645"/>
      <c r="O468" s="645"/>
      <c r="P468" s="645"/>
      <c r="Q468" s="645"/>
      <c r="R468" s="645"/>
      <c r="S468" s="645"/>
      <c r="T468" s="645"/>
      <c r="U468" s="645"/>
      <c r="V468" s="645"/>
      <c r="W468" s="645"/>
      <c r="X468" s="645"/>
      <c r="Y468" s="645"/>
      <c r="Z468" s="645"/>
      <c r="AA468" s="645"/>
      <c r="AB468" s="645"/>
      <c r="AC468" s="645"/>
      <c r="AD468" s="645"/>
      <c r="AE468" s="645"/>
      <c r="AF468" s="645"/>
      <c r="AG468" s="645"/>
      <c r="AH468" s="645"/>
      <c r="AI468" s="645"/>
      <c r="AJ468" s="645"/>
      <c r="AK468" s="646"/>
      <c r="AL468" s="646"/>
    </row>
    <row r="469" spans="1:38" s="649" customFormat="1" ht="15" hidden="1" customHeight="1" x14ac:dyDescent="0.25">
      <c r="A469" s="611"/>
      <c r="B469" s="623" t="s">
        <v>150</v>
      </c>
      <c r="C469" s="613" t="s">
        <v>230</v>
      </c>
      <c r="D469" s="614"/>
      <c r="E469" s="614"/>
      <c r="F469" s="614"/>
      <c r="G469" s="614"/>
      <c r="H469" s="614"/>
      <c r="I469" s="614"/>
      <c r="J469" s="614"/>
      <c r="K469" s="644"/>
      <c r="L469" s="648"/>
      <c r="M469" s="648"/>
      <c r="N469" s="648"/>
      <c r="O469" s="648"/>
      <c r="P469" s="648"/>
      <c r="Q469" s="648"/>
      <c r="R469" s="648"/>
      <c r="S469" s="648"/>
      <c r="T469" s="648"/>
      <c r="U469" s="648"/>
      <c r="V469" s="648"/>
      <c r="W469" s="648"/>
      <c r="X469" s="648"/>
      <c r="Y469" s="648"/>
      <c r="Z469" s="648"/>
      <c r="AA469" s="648"/>
      <c r="AB469" s="648"/>
      <c r="AC469" s="648"/>
      <c r="AD469" s="648"/>
      <c r="AE469" s="648"/>
      <c r="AF469" s="648"/>
      <c r="AG469" s="648"/>
      <c r="AH469" s="648"/>
      <c r="AI469" s="648"/>
      <c r="AJ469" s="648"/>
      <c r="AK469" s="648"/>
      <c r="AL469" s="648"/>
    </row>
    <row r="470" spans="1:38" s="343" customFormat="1" ht="16.5" hidden="1" thickBot="1" x14ac:dyDescent="0.3">
      <c r="A470" s="611" t="s">
        <v>231</v>
      </c>
      <c r="B470" s="623" t="s">
        <v>232</v>
      </c>
      <c r="C470" s="613" t="s">
        <v>87</v>
      </c>
      <c r="D470" s="614">
        <f>SUM(D471:D471)</f>
        <v>54014</v>
      </c>
      <c r="E470" s="614">
        <f>SUM(E471:E471)</f>
        <v>56716</v>
      </c>
      <c r="F470" s="614">
        <f>SUM(F471:F471)</f>
        <v>56829</v>
      </c>
      <c r="G470" s="614">
        <f>SUM(G471:G471)</f>
        <v>58527</v>
      </c>
      <c r="H470" s="614">
        <f>SUM(H471:H471)</f>
        <v>59568</v>
      </c>
      <c r="I470" s="614"/>
      <c r="J470" s="614"/>
      <c r="K470" s="645"/>
      <c r="L470" s="645"/>
      <c r="M470" s="645"/>
      <c r="N470" s="645"/>
      <c r="O470" s="645"/>
      <c r="P470" s="645"/>
      <c r="Q470" s="645"/>
      <c r="R470" s="645"/>
      <c r="S470" s="645"/>
      <c r="T470" s="645"/>
      <c r="U470" s="645"/>
      <c r="V470" s="645"/>
      <c r="W470" s="645"/>
      <c r="X470" s="645"/>
      <c r="Y470" s="645"/>
      <c r="Z470" s="645"/>
      <c r="AA470" s="645"/>
      <c r="AB470" s="645"/>
      <c r="AC470" s="645"/>
      <c r="AD470" s="645"/>
      <c r="AE470" s="645"/>
      <c r="AF470" s="645"/>
      <c r="AG470" s="645"/>
      <c r="AH470" s="645"/>
      <c r="AI470" s="645"/>
      <c r="AJ470" s="645"/>
      <c r="AK470" s="646"/>
      <c r="AL470" s="646"/>
    </row>
    <row r="471" spans="1:38" s="343" customFormat="1" ht="16.5" hidden="1" thickBot="1" x14ac:dyDescent="0.3">
      <c r="A471" s="611"/>
      <c r="B471" s="623" t="s">
        <v>150</v>
      </c>
      <c r="C471" s="613" t="s">
        <v>87</v>
      </c>
      <c r="D471" s="614">
        <f>SUM(D473,D482)</f>
        <v>54014</v>
      </c>
      <c r="E471" s="614">
        <f>SUM(E473,E482)</f>
        <v>56716</v>
      </c>
      <c r="F471" s="614">
        <f>SUM(F473,F482)</f>
        <v>56829</v>
      </c>
      <c r="G471" s="614">
        <f>SUM(G473,G482)</f>
        <v>58527</v>
      </c>
      <c r="H471" s="614">
        <f>SUM(H473,H482)</f>
        <v>59568</v>
      </c>
      <c r="I471" s="614"/>
      <c r="J471" s="614"/>
      <c r="K471" s="645"/>
      <c r="L471" s="645"/>
      <c r="M471" s="645"/>
      <c r="N471" s="645"/>
      <c r="O471" s="645"/>
      <c r="P471" s="645"/>
      <c r="Q471" s="645"/>
      <c r="R471" s="645"/>
      <c r="S471" s="645"/>
      <c r="T471" s="645"/>
      <c r="U471" s="645"/>
      <c r="V471" s="645"/>
      <c r="W471" s="645"/>
      <c r="X471" s="645"/>
      <c r="Y471" s="645"/>
      <c r="Z471" s="645"/>
      <c r="AA471" s="645"/>
      <c r="AB471" s="645"/>
      <c r="AC471" s="645"/>
      <c r="AD471" s="645"/>
      <c r="AE471" s="645"/>
      <c r="AF471" s="645"/>
      <c r="AG471" s="645"/>
      <c r="AH471" s="645"/>
      <c r="AI471" s="645"/>
      <c r="AJ471" s="645"/>
      <c r="AK471" s="646"/>
      <c r="AL471" s="646"/>
    </row>
    <row r="472" spans="1:38" s="649" customFormat="1" ht="16.5" hidden="1" thickBot="1" x14ac:dyDescent="0.3">
      <c r="A472" s="611"/>
      <c r="B472" s="623" t="s">
        <v>88</v>
      </c>
      <c r="C472" s="613"/>
      <c r="D472" s="614"/>
      <c r="E472" s="614"/>
      <c r="F472" s="614"/>
      <c r="G472" s="614"/>
      <c r="H472" s="614"/>
      <c r="I472" s="614"/>
      <c r="J472" s="614"/>
      <c r="K472" s="644"/>
      <c r="L472" s="648"/>
      <c r="M472" s="648"/>
      <c r="N472" s="648"/>
      <c r="O472" s="648"/>
      <c r="P472" s="648"/>
      <c r="Q472" s="648"/>
      <c r="R472" s="648"/>
      <c r="S472" s="648"/>
      <c r="T472" s="648"/>
      <c r="U472" s="648"/>
      <c r="V472" s="648"/>
      <c r="W472" s="648"/>
      <c r="X472" s="648"/>
      <c r="Y472" s="648"/>
      <c r="Z472" s="648"/>
      <c r="AA472" s="648"/>
      <c r="AB472" s="648"/>
      <c r="AC472" s="648"/>
      <c r="AD472" s="648"/>
      <c r="AE472" s="648"/>
      <c r="AF472" s="648"/>
      <c r="AG472" s="648"/>
      <c r="AH472" s="648"/>
      <c r="AI472" s="648"/>
      <c r="AJ472" s="648"/>
      <c r="AK472" s="648"/>
      <c r="AL472" s="648"/>
    </row>
    <row r="473" spans="1:38" s="343" customFormat="1" ht="16.5" hidden="1" thickBot="1" x14ac:dyDescent="0.3">
      <c r="A473" s="611" t="s">
        <v>228</v>
      </c>
      <c r="B473" s="623" t="s">
        <v>435</v>
      </c>
      <c r="C473" s="613" t="s">
        <v>235</v>
      </c>
      <c r="D473" s="614">
        <f>'Pl 2014-17 PFC'!D439</f>
        <v>45755</v>
      </c>
      <c r="E473" s="614">
        <f>'Pl 2014-17 PFC'!E439</f>
        <v>46846</v>
      </c>
      <c r="F473" s="614">
        <f>'Pl 2014-17 PFC'!F439</f>
        <v>48006</v>
      </c>
      <c r="G473" s="614">
        <f>'Pl 2014-17 PFC'!G439</f>
        <v>49091</v>
      </c>
      <c r="H473" s="614">
        <f>'Pl 2014-17 PFC'!H439</f>
        <v>50302</v>
      </c>
      <c r="I473" s="614"/>
      <c r="J473" s="614"/>
      <c r="K473" s="645"/>
      <c r="L473" s="645"/>
      <c r="M473" s="645"/>
      <c r="N473" s="645"/>
      <c r="O473" s="645"/>
      <c r="P473" s="645"/>
      <c r="Q473" s="645"/>
      <c r="R473" s="645"/>
      <c r="S473" s="645"/>
      <c r="T473" s="645"/>
      <c r="U473" s="645"/>
      <c r="V473" s="645"/>
      <c r="W473" s="645"/>
      <c r="X473" s="645"/>
      <c r="Y473" s="645"/>
      <c r="Z473" s="645"/>
      <c r="AA473" s="645"/>
      <c r="AB473" s="645"/>
      <c r="AC473" s="645"/>
      <c r="AD473" s="645"/>
      <c r="AE473" s="645"/>
      <c r="AF473" s="645"/>
      <c r="AG473" s="645"/>
      <c r="AH473" s="645"/>
      <c r="AI473" s="645"/>
      <c r="AJ473" s="645"/>
      <c r="AK473" s="646"/>
      <c r="AL473" s="646"/>
    </row>
    <row r="474" spans="1:38" s="649" customFormat="1" ht="16.5" hidden="1" thickBot="1" x14ac:dyDescent="0.3">
      <c r="A474" s="611" t="s">
        <v>434</v>
      </c>
      <c r="B474" s="623" t="s">
        <v>436</v>
      </c>
      <c r="C474" s="613" t="s">
        <v>240</v>
      </c>
      <c r="D474" s="614">
        <f>'Pl 2014-17 PFC'!D442</f>
        <v>1902</v>
      </c>
      <c r="E474" s="614">
        <f>'Pl 2014-17 PFC'!E442</f>
        <v>1947</v>
      </c>
      <c r="F474" s="614">
        <f>'Pl 2014-17 PFC'!F442</f>
        <v>1995</v>
      </c>
      <c r="G474" s="614">
        <f>'Pl 2014-17 PFC'!G442</f>
        <v>2040</v>
      </c>
      <c r="H474" s="614">
        <f>'Pl 2014-17 PFC'!H442</f>
        <v>2090</v>
      </c>
      <c r="I474" s="614"/>
      <c r="J474" s="614"/>
      <c r="K474" s="644"/>
      <c r="L474" s="651"/>
      <c r="M474" s="652"/>
      <c r="N474" s="651"/>
      <c r="O474" s="651"/>
      <c r="P474" s="648"/>
      <c r="Q474" s="648"/>
      <c r="R474" s="648"/>
      <c r="S474" s="648"/>
      <c r="T474" s="648"/>
      <c r="U474" s="648"/>
      <c r="V474" s="648"/>
      <c r="W474" s="648"/>
      <c r="X474" s="648"/>
      <c r="Y474" s="648"/>
      <c r="Z474" s="648"/>
      <c r="AA474" s="648"/>
      <c r="AB474" s="648"/>
      <c r="AC474" s="648"/>
      <c r="AD474" s="648"/>
      <c r="AE474" s="648"/>
      <c r="AF474" s="648"/>
      <c r="AG474" s="648"/>
      <c r="AH474" s="648"/>
      <c r="AI474" s="648"/>
      <c r="AJ474" s="648"/>
      <c r="AK474" s="648"/>
      <c r="AL474" s="648"/>
    </row>
    <row r="475" spans="1:38" s="649" customFormat="1" ht="16.5" hidden="1" thickBot="1" x14ac:dyDescent="0.3">
      <c r="A475" s="611"/>
      <c r="B475" s="623" t="s">
        <v>241</v>
      </c>
      <c r="C475" s="613" t="s">
        <v>242</v>
      </c>
      <c r="D475" s="614">
        <f>'Pl 2014-17 PFC'!D443</f>
        <v>824</v>
      </c>
      <c r="E475" s="614">
        <f>'Pl 2014-17 PFC'!E443</f>
        <v>861</v>
      </c>
      <c r="F475" s="614">
        <f>'Pl 2014-17 PFC'!F443</f>
        <v>882</v>
      </c>
      <c r="G475" s="614">
        <f>'Pl 2014-17 PFC'!G443</f>
        <v>890</v>
      </c>
      <c r="H475" s="614">
        <f>'Pl 2014-17 PFC'!H443</f>
        <v>911</v>
      </c>
      <c r="I475" s="614"/>
      <c r="J475" s="614"/>
      <c r="K475" s="644"/>
      <c r="L475" s="651"/>
      <c r="M475" s="653"/>
      <c r="N475" s="651"/>
      <c r="O475" s="651"/>
      <c r="P475" s="648"/>
      <c r="Q475" s="654"/>
      <c r="R475" s="648"/>
      <c r="S475" s="648"/>
      <c r="T475" s="648"/>
      <c r="U475" s="648"/>
      <c r="V475" s="648"/>
      <c r="W475" s="648"/>
      <c r="X475" s="648"/>
      <c r="Y475" s="648"/>
      <c r="Z475" s="648"/>
      <c r="AA475" s="648"/>
      <c r="AB475" s="648"/>
      <c r="AC475" s="648"/>
      <c r="AD475" s="648"/>
      <c r="AE475" s="648"/>
      <c r="AF475" s="648"/>
      <c r="AG475" s="648"/>
      <c r="AH475" s="648"/>
      <c r="AI475" s="648"/>
      <c r="AJ475" s="648"/>
      <c r="AK475" s="648"/>
      <c r="AL475" s="648"/>
    </row>
    <row r="476" spans="1:38" s="649" customFormat="1" ht="16.5" hidden="1" thickBot="1" x14ac:dyDescent="0.3">
      <c r="A476" s="611"/>
      <c r="B476" s="623" t="s">
        <v>243</v>
      </c>
      <c r="C476" s="613" t="s">
        <v>244</v>
      </c>
      <c r="D476" s="614">
        <f>'Pl 2014-17 PFC'!D444</f>
        <v>32136</v>
      </c>
      <c r="E476" s="614">
        <f>'Pl 2014-17 PFC'!E444</f>
        <v>32084</v>
      </c>
      <c r="F476" s="614">
        <f>'Pl 2014-17 PFC'!F444</f>
        <v>32989</v>
      </c>
      <c r="G476" s="614">
        <f>'Pl 2014-17 PFC'!G444</f>
        <v>34117</v>
      </c>
      <c r="H476" s="614">
        <f>'Pl 2014-17 PFC'!H444</f>
        <v>35067</v>
      </c>
      <c r="I476" s="614"/>
      <c r="J476" s="614"/>
      <c r="K476" s="644"/>
      <c r="L476" s="648"/>
      <c r="M476" s="648"/>
      <c r="N476" s="648"/>
      <c r="O476" s="648"/>
      <c r="P476" s="648"/>
      <c r="Q476" s="648"/>
      <c r="R476" s="648"/>
      <c r="S476" s="648"/>
      <c r="T476" s="648"/>
      <c r="U476" s="648"/>
      <c r="V476" s="648"/>
      <c r="W476" s="648"/>
      <c r="X476" s="648"/>
      <c r="Y476" s="648"/>
      <c r="Z476" s="648"/>
      <c r="AA476" s="648"/>
      <c r="AB476" s="648"/>
      <c r="AC476" s="648"/>
      <c r="AD476" s="648"/>
      <c r="AE476" s="648"/>
      <c r="AF476" s="648"/>
      <c r="AG476" s="648"/>
      <c r="AH476" s="648"/>
      <c r="AI476" s="648"/>
      <c r="AJ476" s="648"/>
      <c r="AK476" s="648"/>
      <c r="AL476" s="648"/>
    </row>
    <row r="477" spans="1:38" s="649" customFormat="1" ht="16.5" hidden="1" thickBot="1" x14ac:dyDescent="0.3">
      <c r="A477" s="611"/>
      <c r="B477" s="623" t="s">
        <v>245</v>
      </c>
      <c r="C477" s="613" t="s">
        <v>246</v>
      </c>
      <c r="D477" s="614">
        <f>'Pl 2014-17 PFC'!D445</f>
        <v>125</v>
      </c>
      <c r="E477" s="614">
        <f>'Pl 2014-17 PFC'!E445</f>
        <v>125</v>
      </c>
      <c r="F477" s="614">
        <f>'Pl 2014-17 PFC'!F445</f>
        <v>125</v>
      </c>
      <c r="G477" s="614">
        <f>'Pl 2014-17 PFC'!G445</f>
        <v>125</v>
      </c>
      <c r="H477" s="614">
        <f>'Pl 2014-17 PFC'!H445</f>
        <v>125</v>
      </c>
      <c r="I477" s="614"/>
      <c r="J477" s="614"/>
      <c r="K477" s="644"/>
      <c r="L477" s="648"/>
      <c r="M477" s="648"/>
      <c r="N477" s="648"/>
      <c r="O477" s="648"/>
      <c r="P477" s="648"/>
      <c r="Q477" s="648"/>
      <c r="R477" s="648"/>
      <c r="S477" s="648"/>
      <c r="T477" s="648"/>
      <c r="U477" s="648"/>
      <c r="V477" s="648"/>
      <c r="W477" s="648"/>
      <c r="X477" s="648"/>
      <c r="Y477" s="648"/>
      <c r="Z477" s="648"/>
      <c r="AA477" s="648"/>
      <c r="AB477" s="648"/>
      <c r="AC477" s="648"/>
      <c r="AD477" s="648"/>
      <c r="AE477" s="648"/>
      <c r="AF477" s="648"/>
      <c r="AG477" s="648"/>
      <c r="AH477" s="648"/>
      <c r="AI477" s="648"/>
      <c r="AJ477" s="648"/>
      <c r="AK477" s="648"/>
      <c r="AL477" s="648"/>
    </row>
    <row r="478" spans="1:38" s="649" customFormat="1" ht="16.5" hidden="1" thickBot="1" x14ac:dyDescent="0.3">
      <c r="A478" s="611"/>
      <c r="B478" s="623" t="s">
        <v>247</v>
      </c>
      <c r="C478" s="613" t="s">
        <v>248</v>
      </c>
      <c r="D478" s="614">
        <f>'Pl 2014-17 PFC'!D446</f>
        <v>233</v>
      </c>
      <c r="E478" s="614">
        <f>'Pl 2014-17 PFC'!E446</f>
        <v>242</v>
      </c>
      <c r="F478" s="614">
        <f>'Pl 2014-17 PFC'!F446</f>
        <v>247</v>
      </c>
      <c r="G478" s="614">
        <f>'Pl 2014-17 PFC'!G446</f>
        <v>248</v>
      </c>
      <c r="H478" s="614">
        <f>'Pl 2014-17 PFC'!H446</f>
        <v>253</v>
      </c>
      <c r="I478" s="614"/>
      <c r="J478" s="614"/>
      <c r="K478" s="644"/>
      <c r="L478" s="648"/>
      <c r="M478" s="648"/>
      <c r="N478" s="648"/>
      <c r="O478" s="648"/>
      <c r="P478" s="648"/>
      <c r="Q478" s="648"/>
      <c r="R478" s="648"/>
      <c r="S478" s="648"/>
      <c r="T478" s="648"/>
      <c r="U478" s="648"/>
      <c r="V478" s="648"/>
      <c r="W478" s="648"/>
      <c r="X478" s="648"/>
      <c r="Y478" s="648"/>
      <c r="Z478" s="648"/>
      <c r="AA478" s="648"/>
      <c r="AB478" s="648"/>
      <c r="AC478" s="648"/>
      <c r="AD478" s="648"/>
      <c r="AE478" s="648"/>
      <c r="AF478" s="648"/>
      <c r="AG478" s="648"/>
      <c r="AH478" s="648"/>
      <c r="AI478" s="648"/>
      <c r="AJ478" s="648"/>
      <c r="AK478" s="648"/>
      <c r="AL478" s="648"/>
    </row>
    <row r="479" spans="1:38" s="649" customFormat="1" ht="16.5" hidden="1" thickBot="1" x14ac:dyDescent="0.3">
      <c r="A479" s="611"/>
      <c r="B479" s="623" t="s">
        <v>249</v>
      </c>
      <c r="C479" s="613" t="s">
        <v>250</v>
      </c>
      <c r="D479" s="614">
        <f>'Pl 2014-17 PFC'!D447</f>
        <v>731</v>
      </c>
      <c r="E479" s="614">
        <f>'Pl 2014-17 PFC'!E447</f>
        <v>745</v>
      </c>
      <c r="F479" s="614">
        <f>'Pl 2014-17 PFC'!F447</f>
        <v>763</v>
      </c>
      <c r="G479" s="614">
        <f>'Pl 2014-17 PFC'!G447</f>
        <v>770</v>
      </c>
      <c r="H479" s="614">
        <f>'Pl 2014-17 PFC'!H447</f>
        <v>788</v>
      </c>
      <c r="I479" s="614"/>
      <c r="J479" s="614"/>
      <c r="K479" s="644"/>
      <c r="L479" s="648"/>
      <c r="M479" s="648"/>
      <c r="N479" s="648"/>
      <c r="O479" s="648"/>
      <c r="P479" s="648"/>
      <c r="Q479" s="648"/>
      <c r="R479" s="648"/>
      <c r="S479" s="648"/>
      <c r="T479" s="648"/>
      <c r="U479" s="648"/>
      <c r="V479" s="648"/>
      <c r="W479" s="648"/>
      <c r="X479" s="648"/>
      <c r="Y479" s="648"/>
      <c r="Z479" s="648"/>
      <c r="AA479" s="648"/>
      <c r="AB479" s="648"/>
      <c r="AC479" s="648"/>
      <c r="AD479" s="648"/>
      <c r="AE479" s="648"/>
      <c r="AF479" s="648"/>
      <c r="AG479" s="648"/>
      <c r="AH479" s="648"/>
      <c r="AI479" s="648"/>
      <c r="AJ479" s="648"/>
      <c r="AK479" s="648"/>
      <c r="AL479" s="648"/>
    </row>
    <row r="480" spans="1:38" s="649" customFormat="1" ht="16.5" hidden="1" thickBot="1" x14ac:dyDescent="0.3">
      <c r="A480" s="611"/>
      <c r="B480" s="623" t="s">
        <v>251</v>
      </c>
      <c r="C480" s="613" t="s">
        <v>252</v>
      </c>
      <c r="D480" s="614">
        <f>'Pl 2014-17 PFC'!D448</f>
        <v>26</v>
      </c>
      <c r="E480" s="614">
        <f>'Pl 2014-17 PFC'!E448</f>
        <v>26</v>
      </c>
      <c r="F480" s="614">
        <f>'Pl 2014-17 PFC'!F448</f>
        <v>27</v>
      </c>
      <c r="G480" s="614">
        <f>'Pl 2014-17 PFC'!G448</f>
        <v>28</v>
      </c>
      <c r="H480" s="614">
        <f>'Pl 2014-17 PFC'!H448</f>
        <v>28</v>
      </c>
      <c r="I480" s="614"/>
      <c r="J480" s="614"/>
      <c r="K480" s="644"/>
      <c r="L480" s="648"/>
      <c r="M480" s="648"/>
      <c r="N480" s="648"/>
      <c r="O480" s="648"/>
      <c r="P480" s="648"/>
      <c r="Q480" s="648"/>
      <c r="R480" s="648"/>
      <c r="S480" s="648"/>
      <c r="T480" s="648"/>
      <c r="U480" s="648"/>
      <c r="V480" s="648"/>
      <c r="W480" s="648"/>
      <c r="X480" s="648"/>
      <c r="Y480" s="648"/>
      <c r="Z480" s="648"/>
      <c r="AA480" s="648"/>
      <c r="AB480" s="648"/>
      <c r="AC480" s="648"/>
      <c r="AD480" s="648"/>
      <c r="AE480" s="648"/>
      <c r="AF480" s="648"/>
      <c r="AG480" s="648"/>
      <c r="AH480" s="648"/>
      <c r="AI480" s="648"/>
      <c r="AJ480" s="648"/>
      <c r="AK480" s="648"/>
      <c r="AL480" s="648"/>
    </row>
    <row r="481" spans="1:39" s="649" customFormat="1" ht="16.5" hidden="1" thickBot="1" x14ac:dyDescent="0.3">
      <c r="A481" s="611"/>
      <c r="B481" s="623" t="s">
        <v>253</v>
      </c>
      <c r="C481" s="613" t="s">
        <v>254</v>
      </c>
      <c r="D481" s="614">
        <f>'Pl 2014-17 PFC'!D449</f>
        <v>5410</v>
      </c>
      <c r="E481" s="614">
        <f>'Pl 2014-17 PFC'!E449</f>
        <v>6350</v>
      </c>
      <c r="F481" s="614">
        <f>'Pl 2014-17 PFC'!F449</f>
        <v>6411</v>
      </c>
      <c r="G481" s="614">
        <f>'Pl 2014-17 PFC'!G449</f>
        <v>6307</v>
      </c>
      <c r="H481" s="614">
        <f>'Pl 2014-17 PFC'!H449</f>
        <v>6367</v>
      </c>
      <c r="I481" s="614"/>
      <c r="J481" s="614"/>
      <c r="K481" s="644"/>
      <c r="L481" s="648"/>
      <c r="M481" s="648"/>
      <c r="N481" s="648"/>
      <c r="O481" s="648"/>
      <c r="P481" s="648"/>
      <c r="Q481" s="648"/>
      <c r="R481" s="648"/>
      <c r="S481" s="648"/>
      <c r="T481" s="648"/>
      <c r="U481" s="648"/>
      <c r="V481" s="648"/>
      <c r="W481" s="648"/>
      <c r="X481" s="648"/>
      <c r="Y481" s="648"/>
      <c r="Z481" s="648"/>
      <c r="AA481" s="648"/>
      <c r="AB481" s="648"/>
      <c r="AC481" s="648"/>
      <c r="AD481" s="648"/>
      <c r="AE481" s="648"/>
      <c r="AF481" s="648"/>
      <c r="AG481" s="648"/>
      <c r="AH481" s="648"/>
      <c r="AI481" s="648"/>
      <c r="AJ481" s="648"/>
      <c r="AK481" s="648"/>
      <c r="AL481" s="648"/>
    </row>
    <row r="482" spans="1:39" s="343" customFormat="1" ht="16.5" hidden="1" thickBot="1" x14ac:dyDescent="0.3">
      <c r="A482" s="611" t="s">
        <v>231</v>
      </c>
      <c r="B482" s="623" t="s">
        <v>437</v>
      </c>
      <c r="C482" s="613" t="s">
        <v>87</v>
      </c>
      <c r="D482" s="614">
        <f>'Pl 2014-17 PFC'!D450</f>
        <v>8259</v>
      </c>
      <c r="E482" s="614">
        <f>'Pl 2014-17 PFC'!E450</f>
        <v>9870</v>
      </c>
      <c r="F482" s="614">
        <f>'Pl 2014-17 PFC'!F450</f>
        <v>8823</v>
      </c>
      <c r="G482" s="614">
        <f>'Pl 2014-17 PFC'!G450</f>
        <v>9436</v>
      </c>
      <c r="H482" s="614">
        <f>'Pl 2014-17 PFC'!H450</f>
        <v>9266</v>
      </c>
      <c r="I482" s="614"/>
      <c r="J482" s="614"/>
      <c r="K482" s="645"/>
      <c r="L482" s="645"/>
      <c r="M482" s="645"/>
      <c r="N482" s="645"/>
      <c r="O482" s="645"/>
      <c r="P482" s="645"/>
      <c r="Q482" s="645"/>
      <c r="R482" s="645"/>
      <c r="S482" s="645"/>
      <c r="T482" s="645"/>
      <c r="U482" s="645"/>
      <c r="V482" s="645"/>
      <c r="W482" s="645"/>
      <c r="X482" s="645"/>
      <c r="Y482" s="645"/>
      <c r="Z482" s="645"/>
      <c r="AA482" s="645"/>
      <c r="AB482" s="645"/>
      <c r="AC482" s="645"/>
      <c r="AD482" s="645"/>
      <c r="AE482" s="645"/>
      <c r="AF482" s="645"/>
      <c r="AG482" s="645"/>
      <c r="AH482" s="645"/>
      <c r="AI482" s="645"/>
      <c r="AJ482" s="645"/>
      <c r="AK482" s="646"/>
      <c r="AL482" s="646"/>
    </row>
    <row r="483" spans="1:39" s="343" customFormat="1" ht="16.5" hidden="1" thickBot="1" x14ac:dyDescent="0.3">
      <c r="A483" s="611"/>
      <c r="B483" s="623" t="s">
        <v>510</v>
      </c>
      <c r="C483" s="613" t="s">
        <v>511</v>
      </c>
      <c r="D483" s="614">
        <f>SUM(D484:D485)</f>
        <v>4368</v>
      </c>
      <c r="E483" s="614">
        <f>SUM(E484:E485)</f>
        <v>4466</v>
      </c>
      <c r="F483" s="614">
        <f>SUM(F484:F485)</f>
        <v>4567</v>
      </c>
      <c r="G483" s="614">
        <f>SUM(G484:G485)</f>
        <v>4566</v>
      </c>
      <c r="H483" s="614">
        <f>SUM(H484:H485)</f>
        <v>4673</v>
      </c>
      <c r="I483" s="614"/>
      <c r="J483" s="614"/>
      <c r="K483" s="645"/>
      <c r="L483" s="645"/>
      <c r="M483" s="645"/>
      <c r="N483" s="645"/>
      <c r="O483" s="645"/>
      <c r="P483" s="645"/>
      <c r="Q483" s="645"/>
      <c r="R483" s="645"/>
      <c r="S483" s="645"/>
      <c r="T483" s="645"/>
      <c r="U483" s="645"/>
      <c r="V483" s="645"/>
      <c r="W483" s="645"/>
      <c r="X483" s="645"/>
      <c r="Y483" s="645"/>
      <c r="Z483" s="645"/>
      <c r="AA483" s="645"/>
      <c r="AB483" s="645"/>
      <c r="AC483" s="645"/>
      <c r="AD483" s="645"/>
      <c r="AE483" s="645"/>
      <c r="AF483" s="645"/>
      <c r="AG483" s="645"/>
      <c r="AH483" s="645"/>
      <c r="AI483" s="645"/>
      <c r="AJ483" s="645"/>
      <c r="AK483" s="646"/>
      <c r="AL483" s="646"/>
    </row>
    <row r="484" spans="1:39" s="649" customFormat="1" ht="16.5" hidden="1" thickBot="1" x14ac:dyDescent="0.3">
      <c r="A484" s="611"/>
      <c r="B484" s="623" t="s">
        <v>236</v>
      </c>
      <c r="C484" s="613" t="s">
        <v>237</v>
      </c>
      <c r="D484" s="614">
        <f>'Pl 2014-17 PFC'!D440</f>
        <v>2954</v>
      </c>
      <c r="E484" s="614">
        <f>'Pl 2014-17 PFC'!E440</f>
        <v>3020</v>
      </c>
      <c r="F484" s="614">
        <f>'Pl 2014-17 PFC'!F440</f>
        <v>3087</v>
      </c>
      <c r="G484" s="614">
        <f>'Pl 2014-17 PFC'!G440</f>
        <v>3091</v>
      </c>
      <c r="H484" s="614">
        <f>'Pl 2014-17 PFC'!H440</f>
        <v>3165</v>
      </c>
      <c r="I484" s="614"/>
      <c r="J484" s="614"/>
      <c r="K484" s="644"/>
      <c r="L484" s="651"/>
      <c r="M484" s="651"/>
      <c r="N484" s="651"/>
      <c r="O484" s="651"/>
      <c r="P484" s="648"/>
      <c r="Q484" s="648"/>
      <c r="R484" s="648"/>
      <c r="S484" s="648"/>
      <c r="T484" s="648"/>
      <c r="U484" s="648"/>
      <c r="V484" s="648"/>
      <c r="W484" s="648"/>
      <c r="X484" s="648"/>
      <c r="Y484" s="648"/>
      <c r="Z484" s="648"/>
      <c r="AA484" s="648"/>
      <c r="AB484" s="648"/>
      <c r="AC484" s="648"/>
      <c r="AD484" s="648"/>
      <c r="AE484" s="648"/>
      <c r="AF484" s="648"/>
      <c r="AG484" s="648"/>
      <c r="AH484" s="648"/>
      <c r="AI484" s="648"/>
      <c r="AJ484" s="648"/>
      <c r="AK484" s="648"/>
      <c r="AL484" s="648"/>
    </row>
    <row r="485" spans="1:39" s="649" customFormat="1" ht="16.5" hidden="1" thickBot="1" x14ac:dyDescent="0.3">
      <c r="A485" s="611"/>
      <c r="B485" s="623" t="s">
        <v>238</v>
      </c>
      <c r="C485" s="613" t="s">
        <v>239</v>
      </c>
      <c r="D485" s="614">
        <f>'Pl 2014-17 PFC'!D441</f>
        <v>1414</v>
      </c>
      <c r="E485" s="614">
        <f>'Pl 2014-17 PFC'!E441</f>
        <v>1446</v>
      </c>
      <c r="F485" s="614">
        <f>'Pl 2014-17 PFC'!F441</f>
        <v>1480</v>
      </c>
      <c r="G485" s="614">
        <f>'Pl 2014-17 PFC'!G441</f>
        <v>1475</v>
      </c>
      <c r="H485" s="614">
        <f>'Pl 2014-17 PFC'!H441</f>
        <v>1508</v>
      </c>
      <c r="I485" s="614"/>
      <c r="J485" s="614"/>
      <c r="K485" s="644"/>
      <c r="L485" s="651"/>
      <c r="M485" s="653"/>
      <c r="N485" s="651"/>
      <c r="O485" s="653"/>
      <c r="P485" s="648"/>
      <c r="Q485" s="648"/>
      <c r="R485" s="648"/>
      <c r="S485" s="648"/>
      <c r="T485" s="648"/>
      <c r="U485" s="648"/>
      <c r="V485" s="648"/>
      <c r="W485" s="648"/>
      <c r="X485" s="648"/>
      <c r="Y485" s="648"/>
      <c r="Z485" s="648"/>
      <c r="AA485" s="648"/>
      <c r="AB485" s="648"/>
      <c r="AC485" s="648"/>
      <c r="AD485" s="648"/>
      <c r="AE485" s="648"/>
      <c r="AF485" s="648"/>
      <c r="AG485" s="648"/>
      <c r="AH485" s="648"/>
      <c r="AI485" s="648"/>
      <c r="AJ485" s="648"/>
      <c r="AK485" s="648"/>
      <c r="AL485" s="648"/>
    </row>
    <row r="486" spans="1:39" s="343" customFormat="1" ht="16.5" hidden="1" thickBot="1" x14ac:dyDescent="0.3">
      <c r="A486" s="611"/>
      <c r="B486" s="623" t="s">
        <v>257</v>
      </c>
      <c r="C486" s="613" t="s">
        <v>512</v>
      </c>
      <c r="D486" s="614">
        <f>SUM(D487:D500)</f>
        <v>8259</v>
      </c>
      <c r="E486" s="614">
        <f>SUM(E487:E500)</f>
        <v>9870</v>
      </c>
      <c r="F486" s="614">
        <f>SUM(F487:F500)</f>
        <v>8823</v>
      </c>
      <c r="G486" s="614">
        <f>SUM(G487:G500)</f>
        <v>9436</v>
      </c>
      <c r="H486" s="614">
        <f>SUM(H487:H500)</f>
        <v>9266</v>
      </c>
      <c r="I486" s="614"/>
      <c r="J486" s="614"/>
      <c r="K486" s="645"/>
      <c r="L486" s="645"/>
      <c r="M486" s="645"/>
      <c r="N486" s="645"/>
      <c r="O486" s="645"/>
      <c r="P486" s="645"/>
      <c r="Q486" s="645"/>
      <c r="R486" s="645"/>
      <c r="S486" s="645"/>
      <c r="T486" s="645"/>
      <c r="U486" s="645"/>
      <c r="V486" s="645"/>
      <c r="W486" s="645"/>
      <c r="X486" s="645"/>
      <c r="Y486" s="645"/>
      <c r="Z486" s="645"/>
      <c r="AA486" s="645"/>
      <c r="AB486" s="645"/>
      <c r="AC486" s="645"/>
      <c r="AD486" s="645"/>
      <c r="AE486" s="645"/>
      <c r="AF486" s="645"/>
      <c r="AG486" s="645"/>
      <c r="AH486" s="645"/>
      <c r="AI486" s="645"/>
      <c r="AJ486" s="645"/>
      <c r="AK486" s="646"/>
      <c r="AL486" s="646"/>
    </row>
    <row r="487" spans="1:39" s="657" customFormat="1" ht="16.5" hidden="1" thickBot="1" x14ac:dyDescent="0.3">
      <c r="A487" s="611"/>
      <c r="B487" s="623" t="s">
        <v>259</v>
      </c>
      <c r="C487" s="613" t="s">
        <v>260</v>
      </c>
      <c r="D487" s="614">
        <f>'Pl 2014-17 PFC'!D452</f>
        <v>1336</v>
      </c>
      <c r="E487" s="614">
        <f>'Pl 2014-17 PFC'!E452</f>
        <v>1423</v>
      </c>
      <c r="F487" s="614">
        <f>'Pl 2014-17 PFC'!F452</f>
        <v>1464</v>
      </c>
      <c r="G487" s="614">
        <f>'Pl 2014-17 PFC'!G452</f>
        <v>1489</v>
      </c>
      <c r="H487" s="614">
        <f>'Pl 2014-17 PFC'!H452</f>
        <v>1525</v>
      </c>
      <c r="I487" s="614"/>
      <c r="J487" s="614"/>
      <c r="K487" s="644"/>
      <c r="L487" s="648"/>
      <c r="M487" s="648"/>
      <c r="N487" s="648"/>
      <c r="O487" s="648"/>
      <c r="P487" s="648"/>
      <c r="Q487" s="648"/>
      <c r="R487" s="648"/>
      <c r="S487" s="648"/>
      <c r="T487" s="648"/>
      <c r="U487" s="648"/>
      <c r="V487" s="648"/>
      <c r="W487" s="648"/>
      <c r="X487" s="648"/>
      <c r="Y487" s="648"/>
      <c r="Z487" s="648"/>
      <c r="AA487" s="648"/>
      <c r="AB487" s="648"/>
      <c r="AC487" s="648"/>
      <c r="AD487" s="648"/>
      <c r="AE487" s="648"/>
      <c r="AF487" s="648"/>
      <c r="AG487" s="648"/>
      <c r="AH487" s="648"/>
      <c r="AI487" s="648"/>
      <c r="AJ487" s="648"/>
      <c r="AK487" s="655"/>
      <c r="AL487" s="655"/>
      <c r="AM487" s="656"/>
    </row>
    <row r="488" spans="1:39" s="649" customFormat="1" ht="16.5" hidden="1" thickBot="1" x14ac:dyDescent="0.3">
      <c r="A488" s="658"/>
      <c r="B488" s="659" t="s">
        <v>261</v>
      </c>
      <c r="C488" s="660" t="s">
        <v>262</v>
      </c>
      <c r="D488" s="614">
        <f>'Pl 2014-17 PFC'!D453</f>
        <v>120</v>
      </c>
      <c r="E488" s="614">
        <f>'Pl 2014-17 PFC'!E453</f>
        <v>80</v>
      </c>
      <c r="F488" s="614">
        <f>'Pl 2014-17 PFC'!F453</f>
        <v>80</v>
      </c>
      <c r="G488" s="614">
        <f>'Pl 2014-17 PFC'!G453</f>
        <v>80</v>
      </c>
      <c r="H488" s="614">
        <f>'Pl 2014-17 PFC'!H453</f>
        <v>80</v>
      </c>
      <c r="I488" s="614"/>
      <c r="J488" s="614"/>
      <c r="K488" s="644"/>
      <c r="L488" s="648"/>
      <c r="M488" s="648"/>
      <c r="N488" s="648"/>
      <c r="O488" s="648"/>
      <c r="P488" s="648"/>
      <c r="Q488" s="648"/>
      <c r="R488" s="648"/>
      <c r="S488" s="648"/>
      <c r="T488" s="648"/>
      <c r="U488" s="648"/>
      <c r="V488" s="648"/>
      <c r="W488" s="648"/>
      <c r="X488" s="648"/>
      <c r="Y488" s="648"/>
      <c r="Z488" s="648"/>
      <c r="AA488" s="648"/>
      <c r="AB488" s="648"/>
      <c r="AC488" s="648"/>
      <c r="AD488" s="648"/>
      <c r="AE488" s="648"/>
      <c r="AF488" s="648"/>
      <c r="AG488" s="648"/>
      <c r="AH488" s="648"/>
      <c r="AI488" s="648"/>
      <c r="AJ488" s="648"/>
      <c r="AK488" s="648"/>
      <c r="AL488" s="648"/>
    </row>
    <row r="489" spans="1:39" s="649" customFormat="1" ht="16.5" hidden="1" thickBot="1" x14ac:dyDescent="0.3">
      <c r="A489" s="611"/>
      <c r="B489" s="623" t="s">
        <v>263</v>
      </c>
      <c r="C489" s="613" t="s">
        <v>264</v>
      </c>
      <c r="D489" s="614">
        <f>'Pl 2014-17 PFC'!D454</f>
        <v>336</v>
      </c>
      <c r="E489" s="614">
        <f>'Pl 2014-17 PFC'!E454</f>
        <v>345</v>
      </c>
      <c r="F489" s="614">
        <f>'Pl 2014-17 PFC'!F454</f>
        <v>354</v>
      </c>
      <c r="G489" s="614">
        <f>'Pl 2014-17 PFC'!G454</f>
        <v>358</v>
      </c>
      <c r="H489" s="614">
        <f>'Pl 2014-17 PFC'!H454</f>
        <v>367</v>
      </c>
      <c r="I489" s="614"/>
      <c r="J489" s="614"/>
      <c r="K489" s="644"/>
      <c r="L489" s="648"/>
      <c r="M489" s="648"/>
      <c r="N489" s="648"/>
      <c r="O489" s="648"/>
      <c r="P489" s="648"/>
      <c r="Q489" s="648"/>
      <c r="R489" s="648"/>
      <c r="S489" s="648"/>
      <c r="T489" s="648"/>
      <c r="U489" s="648"/>
      <c r="V489" s="648"/>
      <c r="W489" s="648"/>
      <c r="X489" s="648"/>
      <c r="Y489" s="648"/>
      <c r="Z489" s="648"/>
      <c r="AA489" s="648"/>
      <c r="AB489" s="648"/>
      <c r="AC489" s="648"/>
      <c r="AD489" s="648"/>
      <c r="AE489" s="648"/>
      <c r="AF489" s="648"/>
      <c r="AG489" s="648"/>
      <c r="AH489" s="648"/>
      <c r="AI489" s="648"/>
      <c r="AJ489" s="648"/>
      <c r="AK489" s="648"/>
      <c r="AL489" s="648"/>
    </row>
    <row r="490" spans="1:39" s="649" customFormat="1" ht="16.5" hidden="1" thickBot="1" x14ac:dyDescent="0.3">
      <c r="A490" s="611"/>
      <c r="B490" s="623" t="s">
        <v>265</v>
      </c>
      <c r="C490" s="613" t="s">
        <v>266</v>
      </c>
      <c r="D490" s="614">
        <f>'Pl 2014-17 PFC'!D455</f>
        <v>1120</v>
      </c>
      <c r="E490" s="614">
        <f>'Pl 2014-17 PFC'!E455</f>
        <v>1120</v>
      </c>
      <c r="F490" s="614">
        <f>'Pl 2014-17 PFC'!F455</f>
        <v>1120</v>
      </c>
      <c r="G490" s="614">
        <f>'Pl 2014-17 PFC'!G455</f>
        <v>1120</v>
      </c>
      <c r="H490" s="614">
        <f>'Pl 2014-17 PFC'!H455</f>
        <v>1120</v>
      </c>
      <c r="I490" s="614"/>
      <c r="J490" s="614"/>
      <c r="K490" s="644"/>
      <c r="L490" s="648"/>
      <c r="M490" s="648"/>
      <c r="N490" s="648"/>
      <c r="O490" s="648"/>
      <c r="P490" s="648"/>
      <c r="Q490" s="648"/>
      <c r="R490" s="648"/>
      <c r="S490" s="648"/>
      <c r="T490" s="648"/>
      <c r="U490" s="648"/>
      <c r="V490" s="648"/>
      <c r="W490" s="648"/>
      <c r="X490" s="648"/>
      <c r="Y490" s="648"/>
      <c r="Z490" s="648"/>
      <c r="AA490" s="648"/>
      <c r="AB490" s="648"/>
      <c r="AC490" s="648"/>
      <c r="AD490" s="648"/>
      <c r="AE490" s="648"/>
      <c r="AF490" s="648"/>
      <c r="AG490" s="648"/>
      <c r="AH490" s="648"/>
      <c r="AI490" s="648"/>
      <c r="AJ490" s="648"/>
      <c r="AK490" s="648"/>
      <c r="AL490" s="648"/>
    </row>
    <row r="491" spans="1:39" s="649" customFormat="1" ht="16.5" hidden="1" thickBot="1" x14ac:dyDescent="0.3">
      <c r="A491" s="611"/>
      <c r="B491" s="623" t="s">
        <v>267</v>
      </c>
      <c r="C491" s="613" t="s">
        <v>268</v>
      </c>
      <c r="D491" s="614">
        <f>'Pl 2014-17 PFC'!D456</f>
        <v>56</v>
      </c>
      <c r="E491" s="614">
        <f>'Pl 2014-17 PFC'!E456</f>
        <v>58</v>
      </c>
      <c r="F491" s="614">
        <f>'Pl 2014-17 PFC'!F456</f>
        <v>59</v>
      </c>
      <c r="G491" s="614">
        <f>'Pl 2014-17 PFC'!G456</f>
        <v>60</v>
      </c>
      <c r="H491" s="614">
        <f>'Pl 2014-17 PFC'!H456</f>
        <v>62</v>
      </c>
      <c r="I491" s="614"/>
      <c r="J491" s="614"/>
      <c r="K491" s="644"/>
      <c r="L491" s="648"/>
      <c r="M491" s="648"/>
      <c r="N491" s="648"/>
      <c r="O491" s="648"/>
      <c r="P491" s="648"/>
      <c r="Q491" s="648"/>
      <c r="R491" s="648"/>
      <c r="S491" s="648"/>
      <c r="T491" s="648"/>
      <c r="U491" s="648"/>
      <c r="V491" s="648"/>
      <c r="W491" s="648"/>
      <c r="X491" s="648"/>
      <c r="Y491" s="648"/>
      <c r="Z491" s="648"/>
      <c r="AA491" s="648"/>
      <c r="AB491" s="648"/>
      <c r="AC491" s="648"/>
      <c r="AD491" s="648"/>
      <c r="AE491" s="648"/>
      <c r="AF491" s="648"/>
      <c r="AG491" s="648"/>
      <c r="AH491" s="648"/>
      <c r="AI491" s="648"/>
      <c r="AJ491" s="648"/>
      <c r="AK491" s="648"/>
      <c r="AL491" s="648"/>
    </row>
    <row r="492" spans="1:39" s="649" customFormat="1" ht="16.5" hidden="1" thickBot="1" x14ac:dyDescent="0.3">
      <c r="A492" s="611"/>
      <c r="B492" s="623" t="s">
        <v>269</v>
      </c>
      <c r="C492" s="613" t="s">
        <v>270</v>
      </c>
      <c r="D492" s="614">
        <f>'Pl 2014-17 PFC'!D457</f>
        <v>3</v>
      </c>
      <c r="E492" s="614">
        <f>'Pl 2014-17 PFC'!E457</f>
        <v>3</v>
      </c>
      <c r="F492" s="614">
        <f>'Pl 2014-17 PFC'!F457</f>
        <v>3</v>
      </c>
      <c r="G492" s="614">
        <f>'Pl 2014-17 PFC'!G457</f>
        <v>3</v>
      </c>
      <c r="H492" s="614">
        <f>'Pl 2014-17 PFC'!H457</f>
        <v>3</v>
      </c>
      <c r="I492" s="614"/>
      <c r="J492" s="614"/>
      <c r="K492" s="644"/>
      <c r="L492" s="648"/>
      <c r="M492" s="648"/>
      <c r="N492" s="648"/>
      <c r="O492" s="648"/>
      <c r="P492" s="648"/>
      <c r="Q492" s="648"/>
      <c r="R492" s="648"/>
      <c r="S492" s="648"/>
      <c r="T492" s="648"/>
      <c r="U492" s="648"/>
      <c r="V492" s="648"/>
      <c r="W492" s="648"/>
      <c r="X492" s="648"/>
      <c r="Y492" s="648"/>
      <c r="Z492" s="648"/>
      <c r="AA492" s="648"/>
      <c r="AB492" s="648"/>
      <c r="AC492" s="648"/>
      <c r="AD492" s="648"/>
      <c r="AE492" s="648"/>
      <c r="AF492" s="648"/>
      <c r="AG492" s="648"/>
      <c r="AH492" s="648"/>
      <c r="AI492" s="648"/>
      <c r="AJ492" s="648"/>
      <c r="AK492" s="648"/>
      <c r="AL492" s="648"/>
    </row>
    <row r="493" spans="1:39" s="649" customFormat="1" ht="16.5" hidden="1" thickBot="1" x14ac:dyDescent="0.3">
      <c r="A493" s="611"/>
      <c r="B493" s="623" t="s">
        <v>271</v>
      </c>
      <c r="C493" s="613" t="s">
        <v>272</v>
      </c>
      <c r="D493" s="614">
        <f>'Pl 2014-17 PFC'!D458</f>
        <v>2</v>
      </c>
      <c r="E493" s="614">
        <f>'Pl 2014-17 PFC'!E458</f>
        <v>2</v>
      </c>
      <c r="F493" s="614">
        <f>'Pl 2014-17 PFC'!F458</f>
        <v>2</v>
      </c>
      <c r="G493" s="614">
        <f>'Pl 2014-17 PFC'!G458</f>
        <v>1</v>
      </c>
      <c r="H493" s="614">
        <f>'Pl 2014-17 PFC'!H458</f>
        <v>2</v>
      </c>
      <c r="I493" s="614"/>
      <c r="J493" s="614"/>
      <c r="K493" s="644"/>
      <c r="L493" s="648"/>
      <c r="M493" s="648"/>
      <c r="N493" s="648"/>
      <c r="O493" s="648"/>
      <c r="P493" s="648"/>
      <c r="Q493" s="648"/>
      <c r="R493" s="648"/>
      <c r="S493" s="648"/>
      <c r="T493" s="648"/>
      <c r="U493" s="648"/>
      <c r="V493" s="648"/>
      <c r="W493" s="648"/>
      <c r="X493" s="648"/>
      <c r="Y493" s="648"/>
      <c r="Z493" s="648"/>
      <c r="AA493" s="648"/>
      <c r="AB493" s="648"/>
      <c r="AC493" s="648"/>
      <c r="AD493" s="648"/>
      <c r="AE493" s="648"/>
      <c r="AF493" s="648"/>
      <c r="AG493" s="648"/>
      <c r="AH493" s="648"/>
      <c r="AI493" s="648"/>
      <c r="AJ493" s="648"/>
      <c r="AK493" s="648"/>
      <c r="AL493" s="648"/>
    </row>
    <row r="494" spans="1:39" s="649" customFormat="1" ht="16.5" hidden="1" thickBot="1" x14ac:dyDescent="0.3">
      <c r="A494" s="611"/>
      <c r="B494" s="623" t="s">
        <v>273</v>
      </c>
      <c r="C494" s="613" t="s">
        <v>274</v>
      </c>
      <c r="D494" s="614">
        <f>'Pl 2014-17 PFC'!D459</f>
        <v>42</v>
      </c>
      <c r="E494" s="614">
        <f>'Pl 2014-17 PFC'!E459</f>
        <v>43</v>
      </c>
      <c r="F494" s="614">
        <f>'Pl 2014-17 PFC'!F459</f>
        <v>44</v>
      </c>
      <c r="G494" s="614">
        <f>'Pl 2014-17 PFC'!G459</f>
        <v>45</v>
      </c>
      <c r="H494" s="614">
        <f>'Pl 2014-17 PFC'!H459</f>
        <v>46</v>
      </c>
      <c r="I494" s="614"/>
      <c r="J494" s="614"/>
      <c r="K494" s="644"/>
      <c r="L494" s="648"/>
      <c r="M494" s="648"/>
      <c r="N494" s="648"/>
      <c r="O494" s="648"/>
      <c r="P494" s="648"/>
      <c r="Q494" s="648"/>
      <c r="R494" s="648"/>
      <c r="S494" s="648"/>
      <c r="T494" s="648"/>
      <c r="U494" s="648"/>
      <c r="V494" s="648"/>
      <c r="W494" s="648"/>
      <c r="X494" s="648"/>
      <c r="Y494" s="648"/>
      <c r="Z494" s="648"/>
      <c r="AA494" s="648"/>
      <c r="AB494" s="648"/>
      <c r="AC494" s="648"/>
      <c r="AD494" s="648"/>
      <c r="AE494" s="648"/>
      <c r="AF494" s="648"/>
      <c r="AG494" s="648"/>
      <c r="AH494" s="648"/>
      <c r="AI494" s="648"/>
      <c r="AJ494" s="648"/>
      <c r="AK494" s="648"/>
      <c r="AL494" s="648"/>
    </row>
    <row r="495" spans="1:39" s="649" customFormat="1" ht="16.5" hidden="1" thickBot="1" x14ac:dyDescent="0.3">
      <c r="A495" s="611"/>
      <c r="B495" s="623" t="s">
        <v>275</v>
      </c>
      <c r="C495" s="613" t="s">
        <v>276</v>
      </c>
      <c r="D495" s="614">
        <f>'Pl 2014-17 PFC'!D460</f>
        <v>0</v>
      </c>
      <c r="E495" s="614">
        <f>'Pl 2014-17 PFC'!E460</f>
        <v>0</v>
      </c>
      <c r="F495" s="614">
        <f>'Pl 2014-17 PFC'!F460</f>
        <v>0</v>
      </c>
      <c r="G495" s="614">
        <f>'Pl 2014-17 PFC'!G460</f>
        <v>0</v>
      </c>
      <c r="H495" s="614">
        <f>'Pl 2014-17 PFC'!H460</f>
        <v>0</v>
      </c>
      <c r="I495" s="614"/>
      <c r="J495" s="614"/>
      <c r="K495" s="644"/>
      <c r="L495" s="648"/>
      <c r="M495" s="648"/>
      <c r="N495" s="648"/>
      <c r="O495" s="648"/>
      <c r="P495" s="648"/>
      <c r="Q495" s="648"/>
      <c r="R495" s="648"/>
      <c r="S495" s="648"/>
      <c r="T495" s="648"/>
      <c r="U495" s="648"/>
      <c r="V495" s="648"/>
      <c r="W495" s="648"/>
      <c r="X495" s="648"/>
      <c r="Y495" s="648"/>
      <c r="Z495" s="648"/>
      <c r="AA495" s="648"/>
      <c r="AB495" s="648"/>
      <c r="AC495" s="648"/>
      <c r="AD495" s="648"/>
      <c r="AE495" s="648"/>
      <c r="AF495" s="648"/>
      <c r="AG495" s="648"/>
      <c r="AH495" s="648"/>
      <c r="AI495" s="648"/>
      <c r="AJ495" s="648"/>
      <c r="AK495" s="648"/>
      <c r="AL495" s="648"/>
    </row>
    <row r="496" spans="1:39" s="649" customFormat="1" ht="16.5" hidden="1" thickBot="1" x14ac:dyDescent="0.3">
      <c r="A496" s="611"/>
      <c r="B496" s="623" t="s">
        <v>131</v>
      </c>
      <c r="C496" s="613" t="s">
        <v>277</v>
      </c>
      <c r="D496" s="614">
        <f>'Pl 2014-17 PFC'!D461</f>
        <v>314</v>
      </c>
      <c r="E496" s="614">
        <f>'Pl 2014-17 PFC'!E461</f>
        <v>311</v>
      </c>
      <c r="F496" s="614">
        <f>'Pl 2014-17 PFC'!F461</f>
        <v>307</v>
      </c>
      <c r="G496" s="614">
        <f>'Pl 2014-17 PFC'!G461</f>
        <v>302</v>
      </c>
      <c r="H496" s="614">
        <f>'Pl 2014-17 PFC'!H461</f>
        <v>307</v>
      </c>
      <c r="I496" s="614"/>
      <c r="J496" s="614"/>
      <c r="K496" s="644"/>
      <c r="L496" s="648"/>
      <c r="M496" s="648"/>
      <c r="N496" s="648"/>
      <c r="O496" s="648"/>
      <c r="P496" s="648"/>
      <c r="Q496" s="648"/>
      <c r="R496" s="648"/>
      <c r="S496" s="648"/>
      <c r="T496" s="648"/>
      <c r="U496" s="648"/>
      <c r="V496" s="648"/>
      <c r="W496" s="648"/>
      <c r="X496" s="648"/>
      <c r="Y496" s="648"/>
      <c r="Z496" s="648"/>
      <c r="AA496" s="648"/>
      <c r="AB496" s="648"/>
      <c r="AC496" s="648"/>
      <c r="AD496" s="648"/>
      <c r="AE496" s="648"/>
      <c r="AF496" s="648"/>
      <c r="AG496" s="648"/>
      <c r="AH496" s="648"/>
      <c r="AI496" s="648"/>
      <c r="AJ496" s="648"/>
      <c r="AK496" s="648"/>
      <c r="AL496" s="648"/>
    </row>
    <row r="497" spans="1:38" s="649" customFormat="1" ht="16.5" hidden="1" thickBot="1" x14ac:dyDescent="0.3">
      <c r="A497" s="611"/>
      <c r="B497" s="623" t="s">
        <v>278</v>
      </c>
      <c r="C497" s="613" t="s">
        <v>279</v>
      </c>
      <c r="D497" s="614">
        <f>'Pl 2014-17 PFC'!D462</f>
        <v>0</v>
      </c>
      <c r="E497" s="614">
        <f>'Pl 2014-17 PFC'!E462</f>
        <v>0</v>
      </c>
      <c r="F497" s="614">
        <f>'Pl 2014-17 PFC'!F462</f>
        <v>0</v>
      </c>
      <c r="G497" s="614">
        <f>'Pl 2014-17 PFC'!G462</f>
        <v>0</v>
      </c>
      <c r="H497" s="614">
        <f>'Pl 2014-17 PFC'!H462</f>
        <v>0</v>
      </c>
      <c r="I497" s="614"/>
      <c r="J497" s="614"/>
      <c r="K497" s="644"/>
      <c r="L497" s="648"/>
      <c r="M497" s="648"/>
      <c r="N497" s="648"/>
      <c r="O497" s="648"/>
      <c r="P497" s="648"/>
      <c r="Q497" s="648"/>
      <c r="R497" s="648"/>
      <c r="S497" s="648"/>
      <c r="T497" s="648"/>
      <c r="U497" s="648"/>
      <c r="V497" s="648"/>
      <c r="W497" s="648"/>
      <c r="X497" s="648"/>
      <c r="Y497" s="648"/>
      <c r="Z497" s="648"/>
      <c r="AA497" s="648"/>
      <c r="AB497" s="648"/>
      <c r="AC497" s="648"/>
      <c r="AD497" s="648"/>
      <c r="AE497" s="648"/>
      <c r="AF497" s="648"/>
      <c r="AG497" s="648"/>
      <c r="AH497" s="648"/>
      <c r="AI497" s="648"/>
      <c r="AJ497" s="648"/>
      <c r="AK497" s="648"/>
      <c r="AL497" s="648"/>
    </row>
    <row r="498" spans="1:38" s="649" customFormat="1" ht="15.75" hidden="1" customHeight="1" x14ac:dyDescent="0.25">
      <c r="A498" s="611"/>
      <c r="B498" s="623" t="s">
        <v>280</v>
      </c>
      <c r="C498" s="613" t="s">
        <v>281</v>
      </c>
      <c r="D498" s="614">
        <f>'Pl 2014-17 PFC'!D463</f>
        <v>150</v>
      </c>
      <c r="E498" s="614">
        <f>'Pl 2014-17 PFC'!E463</f>
        <v>0</v>
      </c>
      <c r="F498" s="614">
        <f>'Pl 2014-17 PFC'!F463</f>
        <v>0</v>
      </c>
      <c r="G498" s="614">
        <f>'Pl 2014-17 PFC'!G463</f>
        <v>0</v>
      </c>
      <c r="H498" s="614">
        <f>'Pl 2014-17 PFC'!H463</f>
        <v>0</v>
      </c>
      <c r="I498" s="614"/>
      <c r="J498" s="614"/>
      <c r="K498" s="644"/>
      <c r="L498" s="648"/>
      <c r="M498" s="648"/>
      <c r="N498" s="648"/>
      <c r="O498" s="648"/>
      <c r="P498" s="648"/>
      <c r="Q498" s="648"/>
      <c r="R498" s="648"/>
      <c r="S498" s="648"/>
      <c r="T498" s="648"/>
      <c r="U498" s="648"/>
      <c r="V498" s="648"/>
      <c r="W498" s="648"/>
      <c r="X498" s="648"/>
      <c r="Y498" s="648"/>
      <c r="Z498" s="648"/>
      <c r="AA498" s="648"/>
      <c r="AB498" s="648"/>
      <c r="AC498" s="648"/>
      <c r="AD498" s="648"/>
      <c r="AE498" s="648"/>
      <c r="AF498" s="648"/>
      <c r="AG498" s="648"/>
      <c r="AH498" s="648"/>
      <c r="AI498" s="648"/>
      <c r="AJ498" s="648"/>
      <c r="AK498" s="648"/>
      <c r="AL498" s="648"/>
    </row>
    <row r="499" spans="1:38" s="649" customFormat="1" ht="16.5" hidden="1" thickBot="1" x14ac:dyDescent="0.3">
      <c r="A499" s="611"/>
      <c r="B499" s="623" t="s">
        <v>282</v>
      </c>
      <c r="C499" s="613" t="s">
        <v>283</v>
      </c>
      <c r="D499" s="614">
        <f>'Pl 2014-17 PFC'!D464</f>
        <v>4780</v>
      </c>
      <c r="E499" s="614">
        <f>'Pl 2014-17 PFC'!E464</f>
        <v>6485</v>
      </c>
      <c r="F499" s="614">
        <f>'Pl 2014-17 PFC'!F464</f>
        <v>5390</v>
      </c>
      <c r="G499" s="614">
        <f>'Pl 2014-17 PFC'!G464</f>
        <v>5978</v>
      </c>
      <c r="H499" s="614">
        <f>'Pl 2014-17 PFC'!H464</f>
        <v>5754</v>
      </c>
      <c r="I499" s="614"/>
      <c r="J499" s="614"/>
      <c r="K499" s="644"/>
      <c r="L499" s="648"/>
      <c r="M499" s="648"/>
      <c r="N499" s="648"/>
      <c r="O499" s="648"/>
      <c r="P499" s="648"/>
      <c r="Q499" s="648"/>
      <c r="R499" s="648"/>
      <c r="S499" s="648"/>
      <c r="T499" s="648"/>
      <c r="U499" s="648"/>
      <c r="V499" s="648"/>
      <c r="W499" s="648"/>
      <c r="X499" s="648"/>
      <c r="Y499" s="648"/>
      <c r="Z499" s="648"/>
      <c r="AA499" s="648"/>
      <c r="AB499" s="648"/>
      <c r="AC499" s="648"/>
      <c r="AD499" s="648"/>
      <c r="AE499" s="648"/>
      <c r="AF499" s="648"/>
      <c r="AG499" s="648"/>
      <c r="AH499" s="648"/>
      <c r="AI499" s="648"/>
      <c r="AJ499" s="648"/>
      <c r="AK499" s="648"/>
      <c r="AL499" s="648"/>
    </row>
    <row r="500" spans="1:38" s="649" customFormat="1" ht="16.5" hidden="1" thickBot="1" x14ac:dyDescent="0.3">
      <c r="A500" s="611"/>
      <c r="B500" s="623" t="s">
        <v>71</v>
      </c>
      <c r="C500" s="613" t="s">
        <v>284</v>
      </c>
      <c r="D500" s="614">
        <f>'Pl 2014-17 PFC'!D465</f>
        <v>0</v>
      </c>
      <c r="E500" s="614">
        <f>'Pl 2014-17 PFC'!E465</f>
        <v>0</v>
      </c>
      <c r="F500" s="614">
        <f>'Pl 2014-17 PFC'!F465</f>
        <v>0</v>
      </c>
      <c r="G500" s="614">
        <f>'Pl 2014-17 PFC'!G465</f>
        <v>0</v>
      </c>
      <c r="H500" s="614">
        <f>'Pl 2014-17 PFC'!H465</f>
        <v>0</v>
      </c>
      <c r="I500" s="614"/>
      <c r="J500" s="614"/>
      <c r="K500" s="644"/>
      <c r="L500" s="644"/>
      <c r="M500" s="648"/>
      <c r="N500" s="648"/>
      <c r="O500" s="648"/>
      <c r="P500" s="648"/>
      <c r="Q500" s="648"/>
      <c r="R500" s="648"/>
      <c r="S500" s="648"/>
      <c r="T500" s="648"/>
      <c r="U500" s="648"/>
      <c r="V500" s="648"/>
      <c r="W500" s="648"/>
      <c r="X500" s="648"/>
      <c r="Y500" s="648"/>
      <c r="Z500" s="648"/>
      <c r="AA500" s="648"/>
      <c r="AB500" s="648"/>
      <c r="AC500" s="648"/>
      <c r="AD500" s="648"/>
      <c r="AE500" s="648"/>
      <c r="AF500" s="648"/>
      <c r="AG500" s="648"/>
      <c r="AH500" s="648"/>
      <c r="AI500" s="648"/>
      <c r="AJ500" s="648"/>
      <c r="AK500" s="648"/>
      <c r="AL500" s="648"/>
    </row>
    <row r="501" spans="1:38" s="661" customFormat="1" ht="27.75" hidden="1" customHeight="1" x14ac:dyDescent="0.25">
      <c r="A501" s="611" t="s">
        <v>285</v>
      </c>
      <c r="B501" s="623" t="s">
        <v>286</v>
      </c>
      <c r="C501" s="613" t="s">
        <v>287</v>
      </c>
      <c r="D501" s="614">
        <f>'Pl 2014-17 PFC'!D466</f>
        <v>0</v>
      </c>
      <c r="E501" s="614">
        <f>'Pl 2014-17 PFC'!E466</f>
        <v>0</v>
      </c>
      <c r="F501" s="614">
        <f>'Pl 2014-17 PFC'!F466</f>
        <v>0</v>
      </c>
      <c r="G501" s="614">
        <f>'Pl 2014-17 PFC'!G466</f>
        <v>0</v>
      </c>
      <c r="H501" s="614">
        <f>'Pl 2014-17 PFC'!H466</f>
        <v>0</v>
      </c>
      <c r="I501" s="614"/>
      <c r="J501" s="614"/>
      <c r="K501" s="650"/>
      <c r="L501" s="648"/>
      <c r="M501" s="648"/>
      <c r="N501" s="648"/>
      <c r="O501" s="648"/>
      <c r="P501" s="650"/>
      <c r="Q501" s="650"/>
      <c r="R501" s="650"/>
      <c r="S501" s="650"/>
      <c r="T501" s="650"/>
      <c r="U501" s="650"/>
      <c r="V501" s="650"/>
      <c r="W501" s="650"/>
      <c r="X501" s="650"/>
      <c r="Y501" s="650"/>
      <c r="Z501" s="650"/>
      <c r="AA501" s="650"/>
      <c r="AB501" s="650"/>
      <c r="AC501" s="650"/>
      <c r="AD501" s="650"/>
      <c r="AE501" s="650"/>
      <c r="AF501" s="650"/>
      <c r="AG501" s="650"/>
      <c r="AH501" s="650"/>
      <c r="AI501" s="650"/>
      <c r="AJ501" s="650"/>
      <c r="AK501" s="650"/>
      <c r="AL501" s="650"/>
    </row>
    <row r="502" spans="1:38" s="661" customFormat="1" ht="16.5" hidden="1" thickBot="1" x14ac:dyDescent="0.3">
      <c r="A502" s="611" t="s">
        <v>233</v>
      </c>
      <c r="B502" s="623" t="s">
        <v>513</v>
      </c>
      <c r="C502" s="613" t="s">
        <v>258</v>
      </c>
      <c r="D502" s="614">
        <f>'Pl 2014-17 PFC'!D451</f>
        <v>8259</v>
      </c>
      <c r="E502" s="614">
        <f>'Pl 2014-17 PFC'!E451</f>
        <v>9870</v>
      </c>
      <c r="F502" s="614">
        <f>'Pl 2014-17 PFC'!F451</f>
        <v>8823</v>
      </c>
      <c r="G502" s="614">
        <f>'Pl 2014-17 PFC'!G451</f>
        <v>9436</v>
      </c>
      <c r="H502" s="614">
        <f>'Pl 2014-17 PFC'!H451</f>
        <v>9266</v>
      </c>
      <c r="I502" s="614"/>
      <c r="J502" s="614"/>
      <c r="K502" s="650"/>
      <c r="L502" s="648"/>
      <c r="M502" s="648"/>
      <c r="N502" s="648"/>
      <c r="O502" s="648"/>
      <c r="P502" s="650"/>
      <c r="Q502" s="650"/>
      <c r="R502" s="650"/>
      <c r="S502" s="650"/>
      <c r="T502" s="650"/>
      <c r="U502" s="650"/>
      <c r="V502" s="650"/>
      <c r="W502" s="650"/>
      <c r="X502" s="650"/>
      <c r="Y502" s="650"/>
      <c r="Z502" s="650"/>
      <c r="AA502" s="650"/>
      <c r="AB502" s="650"/>
      <c r="AC502" s="650"/>
      <c r="AD502" s="650"/>
      <c r="AE502" s="650"/>
      <c r="AF502" s="650"/>
      <c r="AG502" s="650"/>
      <c r="AH502" s="650"/>
      <c r="AI502" s="650"/>
      <c r="AJ502" s="650"/>
      <c r="AK502" s="650"/>
      <c r="AL502" s="650"/>
    </row>
    <row r="503" spans="1:38" s="643" customFormat="1" ht="16.5" hidden="1" thickBot="1" x14ac:dyDescent="0.3">
      <c r="A503" s="611" t="s">
        <v>31</v>
      </c>
      <c r="B503" s="622" t="s">
        <v>514</v>
      </c>
      <c r="C503" s="639" t="s">
        <v>87</v>
      </c>
      <c r="D503" s="614">
        <f>'Pl 2014-17 PFC'!D467</f>
        <v>130878</v>
      </c>
      <c r="E503" s="614">
        <f>'Pl 2014-17 PFC'!E467</f>
        <v>169473</v>
      </c>
      <c r="F503" s="614">
        <f>'Pl 2014-17 PFC'!F467</f>
        <v>194463</v>
      </c>
      <c r="G503" s="614">
        <f>'Pl 2014-17 PFC'!G467</f>
        <v>183057</v>
      </c>
      <c r="H503" s="614">
        <f>'Pl 2014-17 PFC'!H467</f>
        <v>181100</v>
      </c>
      <c r="I503" s="614"/>
      <c r="J503" s="614">
        <f>D503-147292</f>
        <v>-16414</v>
      </c>
      <c r="K503" s="615"/>
      <c r="L503" s="615"/>
      <c r="M503" s="615"/>
      <c r="N503" s="615"/>
      <c r="O503" s="615"/>
      <c r="P503" s="615"/>
      <c r="Q503" s="615"/>
      <c r="R503" s="615"/>
      <c r="S503" s="615"/>
      <c r="T503" s="615"/>
      <c r="U503" s="615"/>
      <c r="V503" s="615"/>
      <c r="W503" s="615"/>
      <c r="X503" s="615"/>
      <c r="Y503" s="615"/>
      <c r="Z503" s="615"/>
      <c r="AA503" s="615"/>
      <c r="AB503" s="615"/>
      <c r="AC503" s="615"/>
      <c r="AD503" s="615"/>
      <c r="AE503" s="615"/>
      <c r="AF503" s="615"/>
      <c r="AG503" s="615"/>
      <c r="AH503" s="615"/>
      <c r="AI503" s="615"/>
      <c r="AJ503" s="615"/>
      <c r="AK503" s="642"/>
      <c r="AL503" s="642"/>
    </row>
    <row r="504" spans="1:38" s="643" customFormat="1" ht="16.5" hidden="1" thickBot="1" x14ac:dyDescent="0.3">
      <c r="A504" s="611" t="s">
        <v>33</v>
      </c>
      <c r="B504" s="623" t="s">
        <v>457</v>
      </c>
      <c r="C504" s="639" t="s">
        <v>458</v>
      </c>
      <c r="D504" s="614">
        <f>'Pl 2014-17 PFC'!D468</f>
        <v>41131</v>
      </c>
      <c r="E504" s="614">
        <f>'Pl 2014-17 PFC'!E468</f>
        <v>45573</v>
      </c>
      <c r="F504" s="614">
        <f>'Pl 2014-17 PFC'!F468</f>
        <v>45483</v>
      </c>
      <c r="G504" s="614">
        <f>'Pl 2014-17 PFC'!G468</f>
        <v>34077</v>
      </c>
      <c r="H504" s="614">
        <f>'Pl 2014-17 PFC'!H468</f>
        <v>32120</v>
      </c>
      <c r="I504" s="614"/>
      <c r="J504" s="614"/>
      <c r="K504" s="615"/>
      <c r="L504" s="615"/>
      <c r="M504" s="615"/>
      <c r="N504" s="615"/>
      <c r="O504" s="615"/>
      <c r="P504" s="615"/>
      <c r="Q504" s="615"/>
      <c r="R504" s="615"/>
      <c r="S504" s="615"/>
      <c r="T504" s="615"/>
      <c r="U504" s="615"/>
      <c r="V504" s="615"/>
      <c r="W504" s="615"/>
      <c r="X504" s="615"/>
      <c r="Y504" s="615"/>
      <c r="Z504" s="615"/>
      <c r="AA504" s="615"/>
      <c r="AB504" s="615"/>
      <c r="AC504" s="615"/>
      <c r="AD504" s="615"/>
      <c r="AE504" s="615"/>
      <c r="AF504" s="615"/>
      <c r="AG504" s="615"/>
      <c r="AH504" s="615"/>
      <c r="AI504" s="615"/>
      <c r="AJ504" s="615"/>
      <c r="AK504" s="642"/>
      <c r="AL504" s="642"/>
    </row>
    <row r="505" spans="1:38" s="643" customFormat="1" ht="16.5" hidden="1" thickBot="1" x14ac:dyDescent="0.3">
      <c r="A505" s="611" t="s">
        <v>99</v>
      </c>
      <c r="B505" s="623" t="s">
        <v>150</v>
      </c>
      <c r="C505" s="639" t="s">
        <v>290</v>
      </c>
      <c r="D505" s="614">
        <f>'Pl 2014-17 PFC'!D469</f>
        <v>41131</v>
      </c>
      <c r="E505" s="614">
        <f>'Pl 2014-17 PFC'!E469</f>
        <v>45573</v>
      </c>
      <c r="F505" s="614">
        <f>'Pl 2014-17 PFC'!F469</f>
        <v>45483</v>
      </c>
      <c r="G505" s="614">
        <f>'Pl 2014-17 PFC'!G469</f>
        <v>34077</v>
      </c>
      <c r="H505" s="614">
        <f>'Pl 2014-17 PFC'!H469</f>
        <v>32120</v>
      </c>
      <c r="I505" s="614"/>
      <c r="J505" s="614"/>
      <c r="K505" s="615"/>
      <c r="L505" s="615"/>
      <c r="M505" s="615"/>
      <c r="N505" s="615"/>
      <c r="O505" s="615"/>
      <c r="P505" s="615"/>
      <c r="Q505" s="615"/>
      <c r="R505" s="615"/>
      <c r="S505" s="615"/>
      <c r="T505" s="615"/>
      <c r="U505" s="615"/>
      <c r="V505" s="615"/>
      <c r="W505" s="615"/>
      <c r="X505" s="615"/>
      <c r="Y505" s="615"/>
      <c r="Z505" s="615"/>
      <c r="AA505" s="615"/>
      <c r="AB505" s="615"/>
      <c r="AC505" s="615"/>
      <c r="AD505" s="615"/>
      <c r="AE505" s="615"/>
      <c r="AF505" s="615"/>
      <c r="AG505" s="615"/>
      <c r="AH505" s="615"/>
      <c r="AI505" s="615"/>
      <c r="AJ505" s="615"/>
      <c r="AK505" s="642"/>
      <c r="AL505" s="642"/>
    </row>
    <row r="506" spans="1:38" s="643" customFormat="1" ht="16.5" hidden="1" thickBot="1" x14ac:dyDescent="0.3">
      <c r="A506" s="611"/>
      <c r="B506" s="623" t="s">
        <v>153</v>
      </c>
      <c r="C506" s="639" t="s">
        <v>515</v>
      </c>
      <c r="D506" s="614"/>
      <c r="E506" s="614"/>
      <c r="F506" s="614"/>
      <c r="G506" s="614"/>
      <c r="H506" s="614"/>
      <c r="I506" s="614"/>
      <c r="J506" s="614"/>
      <c r="K506" s="615"/>
      <c r="L506" s="615"/>
      <c r="M506" s="615"/>
      <c r="N506" s="615"/>
      <c r="O506" s="615"/>
      <c r="P506" s="615"/>
      <c r="Q506" s="615"/>
      <c r="R506" s="615"/>
      <c r="S506" s="615"/>
      <c r="T506" s="615"/>
      <c r="U506" s="615"/>
      <c r="V506" s="615"/>
      <c r="W506" s="615"/>
      <c r="X506" s="615"/>
      <c r="Y506" s="615"/>
      <c r="Z506" s="615"/>
      <c r="AA506" s="615"/>
      <c r="AB506" s="615"/>
      <c r="AC506" s="615"/>
      <c r="AD506" s="615"/>
      <c r="AE506" s="615"/>
      <c r="AF506" s="615"/>
      <c r="AG506" s="615"/>
      <c r="AH506" s="615"/>
      <c r="AI506" s="615"/>
      <c r="AJ506" s="615"/>
      <c r="AK506" s="642"/>
      <c r="AL506" s="642"/>
    </row>
    <row r="507" spans="1:38" s="643" customFormat="1" ht="16.5" hidden="1" thickBot="1" x14ac:dyDescent="0.3">
      <c r="A507" s="611"/>
      <c r="B507" s="623" t="s">
        <v>291</v>
      </c>
      <c r="C507" s="639">
        <v>6110</v>
      </c>
      <c r="D507" s="614">
        <f>'Pl 2014-17 PFC'!D473</f>
        <v>89747</v>
      </c>
      <c r="E507" s="614">
        <f>'Pl 2014-17 PFC'!E473</f>
        <v>123900</v>
      </c>
      <c r="F507" s="614">
        <f>'Pl 2014-17 PFC'!F473</f>
        <v>148980</v>
      </c>
      <c r="G507" s="614">
        <f>'Pl 2014-17 PFC'!G473</f>
        <v>148980</v>
      </c>
      <c r="H507" s="614">
        <f>'Pl 2014-17 PFC'!H473</f>
        <v>148980</v>
      </c>
      <c r="I507" s="614"/>
      <c r="J507" s="614"/>
      <c r="K507" s="615"/>
      <c r="L507" s="615"/>
      <c r="M507" s="615"/>
      <c r="N507" s="615"/>
      <c r="O507" s="615"/>
      <c r="P507" s="615"/>
      <c r="Q507" s="615"/>
      <c r="R507" s="615"/>
      <c r="S507" s="615"/>
      <c r="T507" s="615"/>
      <c r="U507" s="615"/>
      <c r="V507" s="615"/>
      <c r="W507" s="615"/>
      <c r="X507" s="615"/>
      <c r="Y507" s="615"/>
      <c r="Z507" s="615"/>
      <c r="AA507" s="615"/>
      <c r="AB507" s="615"/>
      <c r="AC507" s="615"/>
      <c r="AD507" s="615"/>
      <c r="AE507" s="615"/>
      <c r="AF507" s="615"/>
      <c r="AG507" s="615"/>
      <c r="AH507" s="615"/>
      <c r="AI507" s="615"/>
      <c r="AJ507" s="615"/>
      <c r="AK507" s="642"/>
      <c r="AL507" s="642"/>
    </row>
    <row r="508" spans="1:38" s="643" customFormat="1" ht="16.5" hidden="1" thickBot="1" x14ac:dyDescent="0.3">
      <c r="A508" s="611"/>
      <c r="B508" s="623" t="s">
        <v>292</v>
      </c>
      <c r="C508" s="639" t="s">
        <v>87</v>
      </c>
      <c r="D508" s="614">
        <f>'Pl 2014-17 PFC'!D471</f>
        <v>16248</v>
      </c>
      <c r="E508" s="614">
        <f>'Pl 2014-17 PFC'!E471</f>
        <v>23255</v>
      </c>
      <c r="F508" s="614">
        <f>'Pl 2014-17 PFC'!F471</f>
        <v>18665</v>
      </c>
      <c r="G508" s="614">
        <f>'Pl 2014-17 PFC'!G471</f>
        <v>14258</v>
      </c>
      <c r="H508" s="614">
        <f>'Pl 2014-17 PFC'!H471</f>
        <v>12801</v>
      </c>
      <c r="I508" s="614"/>
      <c r="J508" s="614"/>
      <c r="K508" s="615"/>
      <c r="L508" s="615"/>
      <c r="M508" s="615"/>
      <c r="N508" s="615"/>
      <c r="O508" s="615"/>
      <c r="P508" s="615"/>
      <c r="Q508" s="615"/>
      <c r="R508" s="615"/>
      <c r="S508" s="615"/>
      <c r="T508" s="615"/>
      <c r="U508" s="615"/>
      <c r="V508" s="615"/>
      <c r="W508" s="615"/>
      <c r="X508" s="615"/>
      <c r="Y508" s="615"/>
      <c r="Z508" s="615"/>
      <c r="AA508" s="615"/>
      <c r="AB508" s="615"/>
      <c r="AC508" s="615"/>
      <c r="AD508" s="615"/>
      <c r="AE508" s="615"/>
      <c r="AF508" s="615"/>
      <c r="AG508" s="615"/>
      <c r="AH508" s="615"/>
      <c r="AI508" s="615"/>
      <c r="AJ508" s="615"/>
      <c r="AK508" s="642"/>
      <c r="AL508" s="642"/>
    </row>
    <row r="509" spans="1:38" s="643" customFormat="1" ht="16.5" hidden="1" thickBot="1" x14ac:dyDescent="0.3">
      <c r="A509" s="611"/>
      <c r="B509" s="623" t="s">
        <v>293</v>
      </c>
      <c r="C509" s="639" t="s">
        <v>294</v>
      </c>
      <c r="D509" s="614">
        <f>'Pl 2014-17 PFC'!D472</f>
        <v>16248</v>
      </c>
      <c r="E509" s="614">
        <f>'Pl 2014-17 PFC'!E472</f>
        <v>23255</v>
      </c>
      <c r="F509" s="614">
        <f>'Pl 2014-17 PFC'!F472</f>
        <v>18665</v>
      </c>
      <c r="G509" s="614">
        <f>'Pl 2014-17 PFC'!G472</f>
        <v>14258</v>
      </c>
      <c r="H509" s="614">
        <f>'Pl 2014-17 PFC'!H472</f>
        <v>12801</v>
      </c>
      <c r="I509" s="614"/>
      <c r="J509" s="614"/>
      <c r="K509" s="615"/>
      <c r="L509" s="615"/>
      <c r="M509" s="615"/>
      <c r="N509" s="615"/>
      <c r="O509" s="615"/>
      <c r="P509" s="615"/>
      <c r="Q509" s="615"/>
      <c r="R509" s="615"/>
      <c r="S509" s="615"/>
      <c r="T509" s="615"/>
      <c r="U509" s="615"/>
      <c r="V509" s="615"/>
      <c r="W509" s="615"/>
      <c r="X509" s="615"/>
      <c r="Y509" s="615"/>
      <c r="Z509" s="615"/>
      <c r="AA509" s="615"/>
      <c r="AB509" s="615"/>
      <c r="AC509" s="615"/>
      <c r="AD509" s="615"/>
      <c r="AE509" s="615"/>
      <c r="AF509" s="615"/>
      <c r="AG509" s="615"/>
      <c r="AH509" s="615"/>
      <c r="AI509" s="615"/>
      <c r="AJ509" s="615"/>
      <c r="AK509" s="642"/>
      <c r="AL509" s="642"/>
    </row>
    <row r="510" spans="1:38" s="643" customFormat="1" ht="16.5" hidden="1" thickBot="1" x14ac:dyDescent="0.3">
      <c r="A510" s="611"/>
      <c r="B510" s="623" t="s">
        <v>449</v>
      </c>
      <c r="C510" s="639" t="s">
        <v>515</v>
      </c>
      <c r="D510" s="614"/>
      <c r="E510" s="614"/>
      <c r="F510" s="614"/>
      <c r="G510" s="614"/>
      <c r="H510" s="614"/>
      <c r="I510" s="614"/>
      <c r="J510" s="614"/>
      <c r="K510" s="615"/>
      <c r="L510" s="615"/>
      <c r="M510" s="615"/>
      <c r="N510" s="615"/>
      <c r="O510" s="615"/>
      <c r="P510" s="615"/>
      <c r="Q510" s="615"/>
      <c r="R510" s="615"/>
      <c r="S510" s="615"/>
      <c r="T510" s="615"/>
      <c r="U510" s="615"/>
      <c r="V510" s="615"/>
      <c r="W510" s="615"/>
      <c r="X510" s="615"/>
      <c r="Y510" s="615"/>
      <c r="Z510" s="615"/>
      <c r="AA510" s="615"/>
      <c r="AB510" s="615"/>
      <c r="AC510" s="615"/>
      <c r="AD510" s="615"/>
      <c r="AE510" s="615"/>
      <c r="AF510" s="615"/>
      <c r="AG510" s="615"/>
      <c r="AH510" s="615"/>
      <c r="AI510" s="615"/>
      <c r="AJ510" s="615"/>
      <c r="AK510" s="642"/>
      <c r="AL510" s="642"/>
    </row>
    <row r="511" spans="1:38" s="638" customFormat="1" ht="16.5" hidden="1" thickBot="1" x14ac:dyDescent="0.3">
      <c r="A511" s="611" t="s">
        <v>34</v>
      </c>
      <c r="B511" s="623" t="s">
        <v>516</v>
      </c>
      <c r="C511" s="613" t="s">
        <v>460</v>
      </c>
      <c r="D511" s="614">
        <f>'Pl 2014-17 PFC'!D473</f>
        <v>89747</v>
      </c>
      <c r="E511" s="614">
        <f>'Pl 2014-17 PFC'!E473</f>
        <v>123900</v>
      </c>
      <c r="F511" s="614">
        <f>'Pl 2014-17 PFC'!F473</f>
        <v>148980</v>
      </c>
      <c r="G511" s="614">
        <f>'Pl 2014-17 PFC'!G473</f>
        <v>148980</v>
      </c>
      <c r="H511" s="614">
        <f>'Pl 2014-17 PFC'!H473</f>
        <v>148980</v>
      </c>
      <c r="I511" s="614"/>
      <c r="J511" s="614"/>
      <c r="K511" s="504"/>
      <c r="L511" s="504"/>
      <c r="M511" s="504"/>
      <c r="N511" s="504"/>
      <c r="O511" s="504"/>
      <c r="P511" s="504"/>
      <c r="Q511" s="504"/>
      <c r="R511" s="504"/>
      <c r="S511" s="504"/>
      <c r="T511" s="504"/>
      <c r="U511" s="504"/>
      <c r="V511" s="504"/>
      <c r="W511" s="504"/>
      <c r="X511" s="504"/>
      <c r="Y511" s="504"/>
      <c r="Z511" s="504"/>
      <c r="AA511" s="504"/>
      <c r="AB511" s="504"/>
      <c r="AC511" s="504"/>
      <c r="AD511" s="504"/>
      <c r="AE511" s="504"/>
      <c r="AF511" s="504"/>
      <c r="AG511" s="504"/>
      <c r="AH511" s="504"/>
      <c r="AI511" s="504"/>
      <c r="AJ511" s="504"/>
      <c r="AK511" s="504"/>
      <c r="AL511" s="504"/>
    </row>
    <row r="512" spans="1:38" s="638" customFormat="1" ht="16.5" hidden="1" thickBot="1" x14ac:dyDescent="0.3">
      <c r="A512" s="611" t="s">
        <v>296</v>
      </c>
      <c r="B512" s="623" t="s">
        <v>297</v>
      </c>
      <c r="C512" s="613" t="s">
        <v>298</v>
      </c>
      <c r="D512" s="614">
        <f>'Pl 2014-17 PFC'!D474</f>
        <v>86848</v>
      </c>
      <c r="E512" s="614">
        <f>'Pl 2014-17 PFC'!E474</f>
        <v>118600</v>
      </c>
      <c r="F512" s="614">
        <f>'Pl 2014-17 PFC'!F474</f>
        <v>139380</v>
      </c>
      <c r="G512" s="614">
        <f>'Pl 2014-17 PFC'!G474</f>
        <v>139380</v>
      </c>
      <c r="H512" s="614">
        <f>'Pl 2014-17 PFC'!H474</f>
        <v>139380</v>
      </c>
      <c r="I512" s="614"/>
      <c r="J512" s="614">
        <f>D512-100219</f>
        <v>-13371</v>
      </c>
      <c r="K512" s="504"/>
      <c r="L512" s="504"/>
      <c r="M512" s="504"/>
      <c r="N512" s="504"/>
      <c r="O512" s="504"/>
      <c r="P512" s="504"/>
      <c r="Q512" s="504"/>
      <c r="R512" s="504"/>
      <c r="S512" s="504"/>
      <c r="T512" s="504"/>
      <c r="U512" s="504"/>
      <c r="V512" s="504"/>
      <c r="W512" s="504"/>
      <c r="X512" s="504"/>
      <c r="Y512" s="504"/>
      <c r="Z512" s="504"/>
      <c r="AA512" s="504"/>
      <c r="AB512" s="504"/>
      <c r="AC512" s="504"/>
      <c r="AD512" s="504"/>
      <c r="AE512" s="504"/>
      <c r="AF512" s="504"/>
      <c r="AG512" s="504"/>
      <c r="AH512" s="504"/>
      <c r="AI512" s="504"/>
      <c r="AJ512" s="504"/>
      <c r="AK512" s="504"/>
      <c r="AL512" s="504"/>
    </row>
    <row r="513" spans="1:38" s="638" customFormat="1" ht="16.5" hidden="1" thickBot="1" x14ac:dyDescent="0.3">
      <c r="A513" s="611"/>
      <c r="B513" s="623" t="s">
        <v>293</v>
      </c>
      <c r="C513" s="613" t="s">
        <v>298</v>
      </c>
      <c r="D513" s="614">
        <f>'Pl 2014-17 PFC'!D475</f>
        <v>86848</v>
      </c>
      <c r="E513" s="614">
        <f>'Pl 2014-17 PFC'!E475</f>
        <v>118600</v>
      </c>
      <c r="F513" s="614">
        <f>'Pl 2014-17 PFC'!F475</f>
        <v>139380</v>
      </c>
      <c r="G513" s="614">
        <f>'Pl 2014-17 PFC'!G475</f>
        <v>139380</v>
      </c>
      <c r="H513" s="614">
        <f>'Pl 2014-17 PFC'!H475</f>
        <v>139380</v>
      </c>
      <c r="I513" s="614"/>
      <c r="J513" s="614"/>
      <c r="K513" s="504"/>
      <c r="L513" s="504"/>
      <c r="M513" s="504"/>
      <c r="N513" s="504"/>
      <c r="O513" s="504"/>
      <c r="P513" s="504"/>
      <c r="Q513" s="504"/>
      <c r="R513" s="504"/>
      <c r="S513" s="504"/>
      <c r="T513" s="504"/>
      <c r="U513" s="504"/>
      <c r="V513" s="504"/>
      <c r="W513" s="504"/>
      <c r="X513" s="504"/>
      <c r="Y513" s="504"/>
      <c r="Z513" s="504"/>
      <c r="AA513" s="504"/>
      <c r="AB513" s="504"/>
      <c r="AC513" s="504"/>
      <c r="AD513" s="504"/>
      <c r="AE513" s="504"/>
      <c r="AF513" s="504"/>
      <c r="AG513" s="504"/>
      <c r="AH513" s="504"/>
      <c r="AI513" s="504"/>
      <c r="AJ513" s="504"/>
      <c r="AK513" s="504"/>
      <c r="AL513" s="504"/>
    </row>
    <row r="514" spans="1:38" s="638" customFormat="1" ht="16.5" hidden="1" thickBot="1" x14ac:dyDescent="0.3">
      <c r="A514" s="611"/>
      <c r="B514" s="623" t="s">
        <v>449</v>
      </c>
      <c r="C514" s="613" t="s">
        <v>517</v>
      </c>
      <c r="D514" s="614" t="str">
        <f>"$'Pl 2014-17 PFC'.$#ODWOŁANIE$#ODWOŁANIE"</f>
        <v>$'Pl 2014-17 PFC'.$#ODWOŁANIE$#ODWOŁANIE</v>
      </c>
      <c r="E514" s="614" t="str">
        <f>"$'Pl 2014-17 PFC'.$#ODWOŁANIE$#ODWOŁANIE"</f>
        <v>$'Pl 2014-17 PFC'.$#ODWOŁANIE$#ODWOŁANIE</v>
      </c>
      <c r="F514" s="614" t="str">
        <f>"$'Pl 2014-17 PFC'.$#ODWOŁANIE$#ODWOŁANIE"</f>
        <v>$'Pl 2014-17 PFC'.$#ODWOŁANIE$#ODWOŁANIE</v>
      </c>
      <c r="G514" s="614" t="str">
        <f>"$'Pl 2014-17 PFC'.$#ODWOŁANIE$#ODWOŁANIE"</f>
        <v>$'Pl 2014-17 PFC'.$#ODWOŁANIE$#ODWOŁANIE</v>
      </c>
      <c r="H514" s="614" t="str">
        <f>"$'Pl 2014-17 PFC'.$#ODWOŁANIE$#ODWOŁANIE"</f>
        <v>$'Pl 2014-17 PFC'.$#ODWOŁANIE$#ODWOŁANIE</v>
      </c>
      <c r="I514" s="614"/>
      <c r="J514" s="614"/>
      <c r="K514" s="504"/>
      <c r="L514" s="504"/>
      <c r="M514" s="504"/>
      <c r="N514" s="504"/>
      <c r="O514" s="504"/>
      <c r="P514" s="504"/>
      <c r="Q514" s="504"/>
      <c r="R514" s="504"/>
      <c r="S514" s="504"/>
      <c r="T514" s="504"/>
      <c r="U514" s="504"/>
      <c r="V514" s="504"/>
      <c r="W514" s="504"/>
      <c r="X514" s="504"/>
      <c r="Y514" s="504"/>
      <c r="Z514" s="504"/>
      <c r="AA514" s="504"/>
      <c r="AB514" s="504"/>
      <c r="AC514" s="504"/>
      <c r="AD514" s="504"/>
      <c r="AE514" s="504"/>
      <c r="AF514" s="504"/>
      <c r="AG514" s="504"/>
      <c r="AH514" s="504"/>
      <c r="AI514" s="504"/>
      <c r="AJ514" s="504"/>
      <c r="AK514" s="504"/>
      <c r="AL514" s="504"/>
    </row>
    <row r="515" spans="1:38" s="638" customFormat="1" ht="16.5" hidden="1" thickBot="1" x14ac:dyDescent="0.3">
      <c r="A515" s="611"/>
      <c r="B515" s="623" t="s">
        <v>462</v>
      </c>
      <c r="C515" s="613" t="s">
        <v>298</v>
      </c>
      <c r="D515" s="614">
        <f>'Pl 2014-17 PFC'!D476</f>
        <v>45200</v>
      </c>
      <c r="E515" s="614">
        <f>'Pl 2014-17 PFC'!E476</f>
        <v>57500</v>
      </c>
      <c r="F515" s="614">
        <f>'Pl 2014-17 PFC'!F476</f>
        <v>68700</v>
      </c>
      <c r="G515" s="614">
        <f>'Pl 2014-17 PFC'!G476</f>
        <v>68700</v>
      </c>
      <c r="H515" s="614">
        <f>'Pl 2014-17 PFC'!H476</f>
        <v>68700</v>
      </c>
      <c r="I515" s="614"/>
      <c r="J515" s="614"/>
      <c r="K515" s="504"/>
      <c r="L515" s="504"/>
      <c r="M515" s="504"/>
      <c r="N515" s="504"/>
      <c r="O515" s="504"/>
      <c r="P515" s="504"/>
      <c r="Q515" s="504"/>
      <c r="R515" s="504"/>
      <c r="S515" s="504"/>
      <c r="T515" s="504"/>
      <c r="U515" s="504"/>
      <c r="V515" s="504"/>
      <c r="W515" s="504"/>
      <c r="X515" s="504"/>
      <c r="Y515" s="504"/>
      <c r="Z515" s="504"/>
      <c r="AA515" s="504"/>
      <c r="AB515" s="504"/>
      <c r="AC515" s="504"/>
      <c r="AD515" s="504"/>
      <c r="AE515" s="504"/>
      <c r="AF515" s="504"/>
      <c r="AG515" s="504"/>
      <c r="AH515" s="504"/>
      <c r="AI515" s="504"/>
      <c r="AJ515" s="504"/>
      <c r="AK515" s="504"/>
      <c r="AL515" s="504"/>
    </row>
    <row r="516" spans="1:38" s="638" customFormat="1" ht="16.5" hidden="1" thickBot="1" x14ac:dyDescent="0.3">
      <c r="A516" s="611"/>
      <c r="B516" s="623" t="s">
        <v>518</v>
      </c>
      <c r="C516" s="613" t="s">
        <v>517</v>
      </c>
      <c r="D516" s="614" t="str">
        <f>"$'Pl 2014-17 PFC'.$#ODWOŁANIE$#ODWOŁANIE"</f>
        <v>$'Pl 2014-17 PFC'.$#ODWOŁANIE$#ODWOŁANIE</v>
      </c>
      <c r="E516" s="614" t="str">
        <f>"$'Pl 2014-17 PFC'.$#ODWOŁANIE$#ODWOŁANIE"</f>
        <v>$'Pl 2014-17 PFC'.$#ODWOŁANIE$#ODWOŁANIE</v>
      </c>
      <c r="F516" s="614" t="str">
        <f>"$'Pl 2014-17 PFC'.$#ODWOŁANIE$#ODWOŁANIE"</f>
        <v>$'Pl 2014-17 PFC'.$#ODWOŁANIE$#ODWOŁANIE</v>
      </c>
      <c r="G516" s="614" t="str">
        <f>"$'Pl 2014-17 PFC'.$#ODWOŁANIE$#ODWOŁANIE"</f>
        <v>$'Pl 2014-17 PFC'.$#ODWOŁANIE$#ODWOŁANIE</v>
      </c>
      <c r="H516" s="614" t="str">
        <f>"$'Pl 2014-17 PFC'.$#ODWOŁANIE$#ODWOŁANIE"</f>
        <v>$'Pl 2014-17 PFC'.$#ODWOŁANIE$#ODWOŁANIE</v>
      </c>
      <c r="I516" s="614"/>
      <c r="J516" s="614"/>
      <c r="K516" s="504"/>
      <c r="L516" s="504"/>
      <c r="M516" s="504"/>
      <c r="N516" s="504"/>
      <c r="O516" s="504"/>
      <c r="P516" s="504"/>
      <c r="Q516" s="504"/>
      <c r="R516" s="504"/>
      <c r="S516" s="504"/>
      <c r="T516" s="504"/>
      <c r="U516" s="504"/>
      <c r="V516" s="504"/>
      <c r="W516" s="504"/>
      <c r="X516" s="504"/>
      <c r="Y516" s="504"/>
      <c r="Z516" s="504"/>
      <c r="AA516" s="504"/>
      <c r="AB516" s="504"/>
      <c r="AC516" s="504"/>
      <c r="AD516" s="504"/>
      <c r="AE516" s="504"/>
      <c r="AF516" s="504"/>
      <c r="AG516" s="504"/>
      <c r="AH516" s="504"/>
      <c r="AI516" s="504"/>
      <c r="AJ516" s="504"/>
      <c r="AK516" s="504"/>
      <c r="AL516" s="504"/>
    </row>
    <row r="517" spans="1:38" s="638" customFormat="1" ht="16.5" hidden="1" thickBot="1" x14ac:dyDescent="0.3">
      <c r="A517" s="611"/>
      <c r="B517" s="623" t="s">
        <v>463</v>
      </c>
      <c r="C517" s="613" t="s">
        <v>298</v>
      </c>
      <c r="D517" s="614">
        <f>'Pl 2014-17 PFC'!D477</f>
        <v>0</v>
      </c>
      <c r="E517" s="614">
        <f>'Pl 2014-17 PFC'!E477</f>
        <v>1000</v>
      </c>
      <c r="F517" s="614">
        <f>'Pl 2014-17 PFC'!F477</f>
        <v>0</v>
      </c>
      <c r="G517" s="614">
        <f>'Pl 2014-17 PFC'!G477</f>
        <v>0</v>
      </c>
      <c r="H517" s="614">
        <f>'Pl 2014-17 PFC'!H477</f>
        <v>0</v>
      </c>
      <c r="I517" s="614"/>
      <c r="J517" s="614"/>
      <c r="K517" s="504"/>
      <c r="L517" s="504"/>
      <c r="M517" s="504"/>
      <c r="N517" s="504"/>
      <c r="O517" s="504"/>
      <c r="P517" s="504"/>
      <c r="Q517" s="504"/>
      <c r="R517" s="504"/>
      <c r="S517" s="504"/>
      <c r="T517" s="504"/>
      <c r="U517" s="504"/>
      <c r="V517" s="504"/>
      <c r="W517" s="504"/>
      <c r="X517" s="504"/>
      <c r="Y517" s="504"/>
      <c r="Z517" s="504"/>
      <c r="AA517" s="504"/>
      <c r="AB517" s="504"/>
      <c r="AC517" s="504"/>
      <c r="AD517" s="504"/>
      <c r="AE517" s="504"/>
      <c r="AF517" s="504"/>
      <c r="AG517" s="504"/>
      <c r="AH517" s="504"/>
      <c r="AI517" s="504"/>
      <c r="AJ517" s="504"/>
      <c r="AK517" s="504"/>
      <c r="AL517" s="504"/>
    </row>
    <row r="518" spans="1:38" s="638" customFormat="1" ht="16.5" hidden="1" thickBot="1" x14ac:dyDescent="0.3">
      <c r="A518" s="611"/>
      <c r="B518" s="623" t="s">
        <v>411</v>
      </c>
      <c r="C518" s="613" t="s">
        <v>298</v>
      </c>
      <c r="D518" s="614">
        <f>'Pl 2014-17 PFC'!D478</f>
        <v>84</v>
      </c>
      <c r="E518" s="614">
        <f>'Pl 2014-17 PFC'!E478</f>
        <v>100</v>
      </c>
      <c r="F518" s="614">
        <f>'Pl 2014-17 PFC'!F478</f>
        <v>100</v>
      </c>
      <c r="G518" s="614">
        <f>'Pl 2014-17 PFC'!G478</f>
        <v>100</v>
      </c>
      <c r="H518" s="614">
        <f>'Pl 2014-17 PFC'!H478</f>
        <v>100</v>
      </c>
      <c r="I518" s="614"/>
      <c r="J518" s="614"/>
      <c r="K518" s="504"/>
      <c r="L518" s="504"/>
      <c r="M518" s="504"/>
      <c r="N518" s="504"/>
      <c r="O518" s="504"/>
      <c r="P518" s="504"/>
      <c r="Q518" s="504"/>
      <c r="R518" s="504"/>
      <c r="S518" s="504"/>
      <c r="T518" s="504"/>
      <c r="U518" s="504"/>
      <c r="V518" s="504"/>
      <c r="W518" s="504"/>
      <c r="X518" s="504"/>
      <c r="Y518" s="504"/>
      <c r="Z518" s="504"/>
      <c r="AA518" s="504"/>
      <c r="AB518" s="504"/>
      <c r="AC518" s="504"/>
      <c r="AD518" s="504"/>
      <c r="AE518" s="504"/>
      <c r="AF518" s="504"/>
      <c r="AG518" s="504"/>
      <c r="AH518" s="504"/>
      <c r="AI518" s="504"/>
      <c r="AJ518" s="504"/>
      <c r="AK518" s="504"/>
      <c r="AL518" s="504"/>
    </row>
    <row r="519" spans="1:38" s="638" customFormat="1" ht="32.25" hidden="1" thickBot="1" x14ac:dyDescent="0.3">
      <c r="A519" s="611"/>
      <c r="B519" s="623" t="s">
        <v>464</v>
      </c>
      <c r="C519" s="613" t="s">
        <v>298</v>
      </c>
      <c r="D519" s="614">
        <f>'Pl 2014-17 PFC'!D479</f>
        <v>41564</v>
      </c>
      <c r="E519" s="614">
        <f>'Pl 2014-17 PFC'!E479</f>
        <v>60000</v>
      </c>
      <c r="F519" s="614">
        <f>'Pl 2014-17 PFC'!F479</f>
        <v>70580</v>
      </c>
      <c r="G519" s="614">
        <f>'Pl 2014-17 PFC'!G479</f>
        <v>70580</v>
      </c>
      <c r="H519" s="614">
        <f>'Pl 2014-17 PFC'!H479</f>
        <v>70580</v>
      </c>
      <c r="I519" s="614"/>
      <c r="J519" s="614"/>
      <c r="K519" s="504"/>
      <c r="L519" s="504"/>
      <c r="M519" s="504"/>
      <c r="N519" s="504"/>
      <c r="O519" s="504"/>
      <c r="P519" s="504"/>
      <c r="Q519" s="504"/>
      <c r="R519" s="504"/>
      <c r="S519" s="504"/>
      <c r="T519" s="504"/>
      <c r="U519" s="504"/>
      <c r="V519" s="504"/>
      <c r="W519" s="504"/>
      <c r="X519" s="504"/>
      <c r="Y519" s="504"/>
      <c r="Z519" s="504"/>
      <c r="AA519" s="504"/>
      <c r="AB519" s="504"/>
      <c r="AC519" s="504"/>
      <c r="AD519" s="504"/>
      <c r="AE519" s="504"/>
      <c r="AF519" s="504"/>
      <c r="AG519" s="504"/>
      <c r="AH519" s="504"/>
      <c r="AI519" s="504"/>
      <c r="AJ519" s="504"/>
      <c r="AK519" s="504"/>
      <c r="AL519" s="504"/>
    </row>
    <row r="520" spans="1:38" s="638" customFormat="1" ht="16.5" hidden="1" thickBot="1" x14ac:dyDescent="0.3">
      <c r="A520" s="611"/>
      <c r="B520" s="623" t="s">
        <v>166</v>
      </c>
      <c r="C520" s="613" t="s">
        <v>298</v>
      </c>
      <c r="D520" s="614">
        <f>'Pl 2014-17 PFC'!D480</f>
        <v>0</v>
      </c>
      <c r="E520" s="614">
        <f>'Pl 2014-17 PFC'!E480</f>
        <v>0</v>
      </c>
      <c r="F520" s="614">
        <f>'Pl 2014-17 PFC'!F480</f>
        <v>0</v>
      </c>
      <c r="G520" s="614">
        <f>'Pl 2014-17 PFC'!G480</f>
        <v>0</v>
      </c>
      <c r="H520" s="614">
        <f>'Pl 2014-17 PFC'!H480</f>
        <v>0</v>
      </c>
      <c r="I520" s="614"/>
      <c r="J520" s="614"/>
      <c r="K520" s="504"/>
      <c r="L520" s="504"/>
      <c r="M520" s="504"/>
      <c r="N520" s="504"/>
      <c r="O520" s="504"/>
      <c r="P520" s="504"/>
      <c r="Q520" s="504"/>
      <c r="R520" s="504"/>
      <c r="S520" s="504"/>
      <c r="T520" s="504"/>
      <c r="U520" s="504"/>
      <c r="V520" s="504"/>
      <c r="W520" s="504"/>
      <c r="X520" s="504"/>
      <c r="Y520" s="504"/>
      <c r="Z520" s="504"/>
      <c r="AA520" s="504"/>
      <c r="AB520" s="504"/>
      <c r="AC520" s="504"/>
      <c r="AD520" s="504"/>
      <c r="AE520" s="504"/>
      <c r="AF520" s="504"/>
      <c r="AG520" s="504"/>
      <c r="AH520" s="504"/>
      <c r="AI520" s="504"/>
      <c r="AJ520" s="504"/>
      <c r="AK520" s="504"/>
      <c r="AL520" s="504"/>
    </row>
    <row r="521" spans="1:38" s="638" customFormat="1" ht="16.5" hidden="1" thickBot="1" x14ac:dyDescent="0.3">
      <c r="A521" s="611"/>
      <c r="B521" s="623" t="s">
        <v>303</v>
      </c>
      <c r="C521" s="613" t="s">
        <v>298</v>
      </c>
      <c r="D521" s="614">
        <f>'Pl 2014-17 PFC'!D481</f>
        <v>0</v>
      </c>
      <c r="E521" s="614">
        <f>'Pl 2014-17 PFC'!E481</f>
        <v>0</v>
      </c>
      <c r="F521" s="614">
        <f>'Pl 2014-17 PFC'!F481</f>
        <v>0</v>
      </c>
      <c r="G521" s="614">
        <f>'Pl 2014-17 PFC'!G481</f>
        <v>0</v>
      </c>
      <c r="H521" s="614">
        <f>'Pl 2014-17 PFC'!H481</f>
        <v>0</v>
      </c>
      <c r="I521" s="614"/>
      <c r="J521" s="614"/>
      <c r="K521" s="504"/>
      <c r="L521" s="504"/>
      <c r="M521" s="504"/>
      <c r="N521" s="504"/>
      <c r="O521" s="504"/>
      <c r="P521" s="504"/>
      <c r="Q521" s="504"/>
      <c r="R521" s="504"/>
      <c r="S521" s="504"/>
      <c r="T521" s="504"/>
      <c r="U521" s="504"/>
      <c r="V521" s="504"/>
      <c r="W521" s="504"/>
      <c r="X521" s="504"/>
      <c r="Y521" s="504"/>
      <c r="Z521" s="504"/>
      <c r="AA521" s="504"/>
      <c r="AB521" s="504"/>
      <c r="AC521" s="504"/>
      <c r="AD521" s="504"/>
      <c r="AE521" s="504"/>
      <c r="AF521" s="504"/>
      <c r="AG521" s="504"/>
      <c r="AH521" s="504"/>
      <c r="AI521" s="504"/>
      <c r="AJ521" s="504"/>
      <c r="AK521" s="504"/>
      <c r="AL521" s="504"/>
    </row>
    <row r="522" spans="1:38" s="638" customFormat="1" ht="16.5" hidden="1" thickBot="1" x14ac:dyDescent="0.3">
      <c r="A522" s="611"/>
      <c r="B522" s="623" t="s">
        <v>403</v>
      </c>
      <c r="C522" s="613" t="s">
        <v>298</v>
      </c>
      <c r="D522" s="614">
        <f>'Pl 2014-17 PFC'!D482</f>
        <v>0</v>
      </c>
      <c r="E522" s="614">
        <f>'Pl 2014-17 PFC'!E482</f>
        <v>0</v>
      </c>
      <c r="F522" s="614">
        <f>'Pl 2014-17 PFC'!F482</f>
        <v>0</v>
      </c>
      <c r="G522" s="614">
        <f>'Pl 2014-17 PFC'!G482</f>
        <v>0</v>
      </c>
      <c r="H522" s="614">
        <f>'Pl 2014-17 PFC'!H482</f>
        <v>0</v>
      </c>
      <c r="I522" s="614"/>
      <c r="J522" s="614"/>
      <c r="K522" s="504"/>
      <c r="L522" s="504"/>
      <c r="M522" s="504"/>
      <c r="N522" s="504"/>
      <c r="O522" s="504"/>
      <c r="P522" s="504"/>
      <c r="Q522" s="504"/>
      <c r="R522" s="504"/>
      <c r="S522" s="504"/>
      <c r="T522" s="504"/>
      <c r="U522" s="504"/>
      <c r="V522" s="504"/>
      <c r="W522" s="504"/>
      <c r="X522" s="504"/>
      <c r="Y522" s="504"/>
      <c r="Z522" s="504"/>
      <c r="AA522" s="504"/>
      <c r="AB522" s="504"/>
      <c r="AC522" s="504"/>
      <c r="AD522" s="504"/>
      <c r="AE522" s="504"/>
      <c r="AF522" s="504"/>
      <c r="AG522" s="504"/>
      <c r="AH522" s="504"/>
      <c r="AI522" s="504"/>
      <c r="AJ522" s="504"/>
      <c r="AK522" s="504"/>
      <c r="AL522" s="504"/>
    </row>
    <row r="523" spans="1:38" s="638" customFormat="1" ht="16.5" hidden="1" thickBot="1" x14ac:dyDescent="0.3">
      <c r="A523" s="611"/>
      <c r="B523" s="623" t="s">
        <v>168</v>
      </c>
      <c r="C523" s="613" t="s">
        <v>298</v>
      </c>
      <c r="D523" s="614">
        <f>'Pl 2014-17 PFC'!D483</f>
        <v>0</v>
      </c>
      <c r="E523" s="614">
        <f>'Pl 2014-17 PFC'!E483</f>
        <v>0</v>
      </c>
      <c r="F523" s="614">
        <f>'Pl 2014-17 PFC'!F483</f>
        <v>0</v>
      </c>
      <c r="G523" s="614">
        <f>'Pl 2014-17 PFC'!G483</f>
        <v>0</v>
      </c>
      <c r="H523" s="614">
        <f>'Pl 2014-17 PFC'!H483</f>
        <v>0</v>
      </c>
      <c r="I523" s="614"/>
      <c r="J523" s="614"/>
      <c r="K523" s="504"/>
      <c r="L523" s="504"/>
      <c r="M523" s="504"/>
      <c r="N523" s="504"/>
      <c r="O523" s="504"/>
      <c r="P523" s="504"/>
      <c r="Q523" s="504"/>
      <c r="R523" s="504"/>
      <c r="S523" s="504"/>
      <c r="T523" s="504"/>
      <c r="U523" s="504"/>
      <c r="V523" s="504"/>
      <c r="W523" s="504"/>
      <c r="X523" s="504"/>
      <c r="Y523" s="504"/>
      <c r="Z523" s="504"/>
      <c r="AA523" s="504"/>
      <c r="AB523" s="504"/>
      <c r="AC523" s="504"/>
      <c r="AD523" s="504"/>
      <c r="AE523" s="504"/>
      <c r="AF523" s="504"/>
      <c r="AG523" s="504"/>
      <c r="AH523" s="504"/>
      <c r="AI523" s="504"/>
      <c r="AJ523" s="504"/>
      <c r="AK523" s="504"/>
      <c r="AL523" s="504"/>
    </row>
    <row r="524" spans="1:38" s="638" customFormat="1" ht="16.5" hidden="1" thickBot="1" x14ac:dyDescent="0.3">
      <c r="A524" s="611"/>
      <c r="B524" s="623" t="s">
        <v>169</v>
      </c>
      <c r="C524" s="613" t="s">
        <v>298</v>
      </c>
      <c r="D524" s="614">
        <f>'Pl 2014-17 PFC'!D484</f>
        <v>0</v>
      </c>
      <c r="E524" s="614">
        <f>'Pl 2014-17 PFC'!E484</f>
        <v>0</v>
      </c>
      <c r="F524" s="614">
        <f>'Pl 2014-17 PFC'!F484</f>
        <v>0</v>
      </c>
      <c r="G524" s="614">
        <f>'Pl 2014-17 PFC'!G484</f>
        <v>0</v>
      </c>
      <c r="H524" s="614">
        <f>'Pl 2014-17 PFC'!H484</f>
        <v>0</v>
      </c>
      <c r="I524" s="614"/>
      <c r="J524" s="614"/>
      <c r="K524" s="504"/>
      <c r="L524" s="504"/>
      <c r="M524" s="504"/>
      <c r="N524" s="504"/>
      <c r="O524" s="504"/>
      <c r="P524" s="504"/>
      <c r="Q524" s="504"/>
      <c r="R524" s="504"/>
      <c r="S524" s="504"/>
      <c r="T524" s="504"/>
      <c r="U524" s="504"/>
      <c r="V524" s="504"/>
      <c r="W524" s="504"/>
      <c r="X524" s="504"/>
      <c r="Y524" s="504"/>
      <c r="Z524" s="504"/>
      <c r="AA524" s="504"/>
      <c r="AB524" s="504"/>
      <c r="AC524" s="504"/>
      <c r="AD524" s="504"/>
      <c r="AE524" s="504"/>
      <c r="AF524" s="504"/>
      <c r="AG524" s="504"/>
      <c r="AH524" s="504"/>
      <c r="AI524" s="504"/>
      <c r="AJ524" s="504"/>
      <c r="AK524" s="504"/>
      <c r="AL524" s="504"/>
    </row>
    <row r="525" spans="1:38" s="638" customFormat="1" ht="16.5" hidden="1" thickBot="1" x14ac:dyDescent="0.3">
      <c r="A525" s="611"/>
      <c r="B525" s="623" t="s">
        <v>174</v>
      </c>
      <c r="C525" s="613" t="s">
        <v>298</v>
      </c>
      <c r="D525" s="614">
        <f>'Pl 2014-17 PFC'!D485</f>
        <v>0</v>
      </c>
      <c r="E525" s="614">
        <f>'Pl 2014-17 PFC'!E485</f>
        <v>0</v>
      </c>
      <c r="F525" s="614">
        <f>'Pl 2014-17 PFC'!F485</f>
        <v>0</v>
      </c>
      <c r="G525" s="614">
        <f>'Pl 2014-17 PFC'!G485</f>
        <v>0</v>
      </c>
      <c r="H525" s="614">
        <f>'Pl 2014-17 PFC'!H485</f>
        <v>0</v>
      </c>
      <c r="I525" s="614"/>
      <c r="J525" s="614"/>
      <c r="K525" s="504"/>
      <c r="L525" s="504"/>
      <c r="M525" s="504"/>
      <c r="N525" s="504"/>
      <c r="O525" s="504"/>
      <c r="P525" s="504"/>
      <c r="Q525" s="504"/>
      <c r="R525" s="504"/>
      <c r="S525" s="504"/>
      <c r="T525" s="504"/>
      <c r="U525" s="504"/>
      <c r="V525" s="504"/>
      <c r="W525" s="504"/>
      <c r="X525" s="504"/>
      <c r="Y525" s="504"/>
      <c r="Z525" s="504"/>
      <c r="AA525" s="504"/>
      <c r="AB525" s="504"/>
      <c r="AC525" s="504"/>
      <c r="AD525" s="504"/>
      <c r="AE525" s="504"/>
      <c r="AF525" s="504"/>
      <c r="AG525" s="504"/>
      <c r="AH525" s="504"/>
      <c r="AI525" s="504"/>
      <c r="AJ525" s="504"/>
      <c r="AK525" s="504"/>
      <c r="AL525" s="504"/>
    </row>
    <row r="526" spans="1:38" s="638" customFormat="1" ht="16.5" hidden="1" thickBot="1" x14ac:dyDescent="0.3">
      <c r="A526" s="611"/>
      <c r="B526" s="623" t="s">
        <v>175</v>
      </c>
      <c r="C526" s="613" t="s">
        <v>298</v>
      </c>
      <c r="D526" s="614">
        <f>'Pl 2014-17 PFC'!D486</f>
        <v>0</v>
      </c>
      <c r="E526" s="614">
        <f>'Pl 2014-17 PFC'!E486</f>
        <v>0</v>
      </c>
      <c r="F526" s="614">
        <f>'Pl 2014-17 PFC'!F486</f>
        <v>0</v>
      </c>
      <c r="G526" s="614">
        <f>'Pl 2014-17 PFC'!G486</f>
        <v>0</v>
      </c>
      <c r="H526" s="614">
        <f>'Pl 2014-17 PFC'!H486</f>
        <v>0</v>
      </c>
      <c r="I526" s="614"/>
      <c r="J526" s="614"/>
      <c r="K526" s="504"/>
      <c r="L526" s="504"/>
      <c r="M526" s="504"/>
      <c r="N526" s="504"/>
      <c r="O526" s="504"/>
      <c r="P526" s="504"/>
      <c r="Q526" s="504"/>
      <c r="R526" s="504"/>
      <c r="S526" s="504"/>
      <c r="T526" s="504"/>
      <c r="U526" s="504"/>
      <c r="V526" s="504"/>
      <c r="W526" s="504"/>
      <c r="X526" s="504"/>
      <c r="Y526" s="504"/>
      <c r="Z526" s="504"/>
      <c r="AA526" s="504"/>
      <c r="AB526" s="504"/>
      <c r="AC526" s="504"/>
      <c r="AD526" s="504"/>
      <c r="AE526" s="504"/>
      <c r="AF526" s="504"/>
      <c r="AG526" s="504"/>
      <c r="AH526" s="504"/>
      <c r="AI526" s="504"/>
      <c r="AJ526" s="504"/>
      <c r="AK526" s="504"/>
      <c r="AL526" s="504"/>
    </row>
    <row r="527" spans="1:38" s="638" customFormat="1" ht="16.5" hidden="1" thickBot="1" x14ac:dyDescent="0.3">
      <c r="A527" s="611"/>
      <c r="B527" s="623" t="s">
        <v>178</v>
      </c>
      <c r="C527" s="613" t="s">
        <v>298</v>
      </c>
      <c r="D527" s="614">
        <f>'Pl 2014-17 PFC'!D487</f>
        <v>0</v>
      </c>
      <c r="E527" s="614">
        <f>'Pl 2014-17 PFC'!E487</f>
        <v>0</v>
      </c>
      <c r="F527" s="614">
        <f>'Pl 2014-17 PFC'!F487</f>
        <v>0</v>
      </c>
      <c r="G527" s="614">
        <f>'Pl 2014-17 PFC'!G487</f>
        <v>0</v>
      </c>
      <c r="H527" s="614">
        <f>'Pl 2014-17 PFC'!H487</f>
        <v>0</v>
      </c>
      <c r="I527" s="614"/>
      <c r="J527" s="614"/>
      <c r="K527" s="504"/>
      <c r="L527" s="504"/>
      <c r="M527" s="504"/>
      <c r="N527" s="504"/>
      <c r="O527" s="504"/>
      <c r="P527" s="504"/>
      <c r="Q527" s="504"/>
      <c r="R527" s="504"/>
      <c r="S527" s="504"/>
      <c r="T527" s="504"/>
      <c r="U527" s="504"/>
      <c r="V527" s="504"/>
      <c r="W527" s="504"/>
      <c r="X527" s="504"/>
      <c r="Y527" s="504"/>
      <c r="Z527" s="504"/>
      <c r="AA527" s="504"/>
      <c r="AB527" s="504"/>
      <c r="AC527" s="504"/>
      <c r="AD527" s="504"/>
      <c r="AE527" s="504"/>
      <c r="AF527" s="504"/>
      <c r="AG527" s="504"/>
      <c r="AH527" s="504"/>
      <c r="AI527" s="504"/>
      <c r="AJ527" s="504"/>
      <c r="AK527" s="504"/>
      <c r="AL527" s="504"/>
    </row>
    <row r="528" spans="1:38" s="638" customFormat="1" ht="16.5" hidden="1" thickBot="1" x14ac:dyDescent="0.3">
      <c r="A528" s="611"/>
      <c r="B528" s="623" t="s">
        <v>177</v>
      </c>
      <c r="C528" s="613"/>
      <c r="D528" s="614">
        <f>'Pl 2014-17 PFC'!D488</f>
        <v>41564</v>
      </c>
      <c r="E528" s="614">
        <f>'Pl 2014-17 PFC'!E488</f>
        <v>60000</v>
      </c>
      <c r="F528" s="614">
        <f>'Pl 2014-17 PFC'!F488</f>
        <v>60000</v>
      </c>
      <c r="G528" s="614">
        <f>'Pl 2014-17 PFC'!G488</f>
        <v>60000</v>
      </c>
      <c r="H528" s="614">
        <f>'Pl 2014-17 PFC'!H488</f>
        <v>60000</v>
      </c>
      <c r="I528" s="614"/>
      <c r="J528" s="614"/>
      <c r="K528" s="504"/>
      <c r="L528" s="504"/>
      <c r="M528" s="504"/>
      <c r="N528" s="504"/>
      <c r="O528" s="504"/>
      <c r="P528" s="504"/>
      <c r="Q528" s="504"/>
      <c r="R528" s="504"/>
      <c r="S528" s="504"/>
      <c r="T528" s="504"/>
      <c r="U528" s="504"/>
      <c r="V528" s="504"/>
      <c r="W528" s="504"/>
      <c r="X528" s="504"/>
      <c r="Y528" s="504"/>
      <c r="Z528" s="504"/>
      <c r="AA528" s="504"/>
      <c r="AB528" s="504"/>
      <c r="AC528" s="504"/>
      <c r="AD528" s="504"/>
      <c r="AE528" s="504"/>
      <c r="AF528" s="504"/>
      <c r="AG528" s="504"/>
      <c r="AH528" s="504"/>
      <c r="AI528" s="504"/>
      <c r="AJ528" s="504"/>
      <c r="AK528" s="504"/>
      <c r="AL528" s="504"/>
    </row>
    <row r="529" spans="1:38" s="638" customFormat="1" ht="16.5" hidden="1" thickBot="1" x14ac:dyDescent="0.3">
      <c r="A529" s="611"/>
      <c r="B529" s="623" t="s">
        <v>198</v>
      </c>
      <c r="C529" s="613" t="s">
        <v>298</v>
      </c>
      <c r="D529" s="614">
        <f>'Pl 2014-17 PFC'!D489</f>
        <v>0</v>
      </c>
      <c r="E529" s="614">
        <f>'Pl 2014-17 PFC'!E489</f>
        <v>0</v>
      </c>
      <c r="F529" s="614">
        <f>'Pl 2014-17 PFC'!F489</f>
        <v>10580</v>
      </c>
      <c r="G529" s="614">
        <f>'Pl 2014-17 PFC'!G489</f>
        <v>10580</v>
      </c>
      <c r="H529" s="614">
        <f>'Pl 2014-17 PFC'!H489</f>
        <v>10580</v>
      </c>
      <c r="I529" s="614"/>
      <c r="J529" s="614"/>
      <c r="K529" s="504"/>
      <c r="L529" s="504"/>
      <c r="M529" s="504"/>
      <c r="N529" s="504"/>
      <c r="O529" s="504"/>
      <c r="P529" s="504"/>
      <c r="Q529" s="504"/>
      <c r="R529" s="504"/>
      <c r="S529" s="504"/>
      <c r="T529" s="504"/>
      <c r="U529" s="504"/>
      <c r="V529" s="504"/>
      <c r="W529" s="504"/>
      <c r="X529" s="504"/>
      <c r="Y529" s="504"/>
      <c r="Z529" s="504"/>
      <c r="AA529" s="504"/>
      <c r="AB529" s="504"/>
      <c r="AC529" s="504"/>
      <c r="AD529" s="504"/>
      <c r="AE529" s="504"/>
      <c r="AF529" s="504"/>
      <c r="AG529" s="504"/>
      <c r="AH529" s="504"/>
      <c r="AI529" s="504"/>
      <c r="AJ529" s="504"/>
      <c r="AK529" s="504"/>
      <c r="AL529" s="504"/>
    </row>
    <row r="530" spans="1:38" s="638" customFormat="1" ht="16.5" hidden="1" thickBot="1" x14ac:dyDescent="0.3">
      <c r="A530" s="611"/>
      <c r="B530" s="623"/>
      <c r="C530" s="613"/>
      <c r="D530" s="614"/>
      <c r="E530" s="614"/>
      <c r="F530" s="614"/>
      <c r="G530" s="614"/>
      <c r="H530" s="614"/>
      <c r="I530" s="614"/>
      <c r="J530" s="614"/>
      <c r="K530" s="504"/>
      <c r="L530" s="504"/>
      <c r="M530" s="504"/>
      <c r="N530" s="504"/>
      <c r="O530" s="504"/>
      <c r="P530" s="504"/>
      <c r="Q530" s="504"/>
      <c r="R530" s="504"/>
      <c r="S530" s="504"/>
      <c r="T530" s="504"/>
      <c r="U530" s="504"/>
      <c r="V530" s="504"/>
      <c r="W530" s="504"/>
      <c r="X530" s="504"/>
      <c r="Y530" s="504"/>
      <c r="Z530" s="504"/>
      <c r="AA530" s="504"/>
      <c r="AB530" s="504"/>
      <c r="AC530" s="504"/>
      <c r="AD530" s="504"/>
      <c r="AE530" s="504"/>
      <c r="AF530" s="504"/>
      <c r="AG530" s="504"/>
      <c r="AH530" s="504"/>
      <c r="AI530" s="504"/>
      <c r="AJ530" s="504"/>
      <c r="AK530" s="504"/>
      <c r="AL530" s="504"/>
    </row>
    <row r="531" spans="1:38" s="663" customFormat="1" ht="16.5" hidden="1" thickBot="1" x14ac:dyDescent="0.3">
      <c r="A531" s="658" t="s">
        <v>305</v>
      </c>
      <c r="B531" s="659" t="s">
        <v>306</v>
      </c>
      <c r="C531" s="660" t="s">
        <v>307</v>
      </c>
      <c r="D531" s="662">
        <f>'Pl 2014-17 PFC'!D491</f>
        <v>2899</v>
      </c>
      <c r="E531" s="662">
        <f>'Pl 2014-17 PFC'!E491</f>
        <v>5300</v>
      </c>
      <c r="F531" s="662">
        <f>'Pl 2014-17 PFC'!F491</f>
        <v>9600</v>
      </c>
      <c r="G531" s="662">
        <f>'Pl 2014-17 PFC'!G491</f>
        <v>9600</v>
      </c>
      <c r="H531" s="662">
        <f>'Pl 2014-17 PFC'!H491</f>
        <v>9600</v>
      </c>
      <c r="I531" s="662"/>
      <c r="J531" s="662">
        <f>D531-5845</f>
        <v>-2946</v>
      </c>
      <c r="K531" s="504"/>
      <c r="L531" s="504"/>
      <c r="M531" s="504"/>
      <c r="N531" s="504"/>
      <c r="O531" s="504"/>
      <c r="P531" s="504"/>
      <c r="Q531" s="504"/>
      <c r="R531" s="504"/>
      <c r="S531" s="504"/>
      <c r="T531" s="504"/>
      <c r="U531" s="504"/>
      <c r="V531" s="504"/>
      <c r="W531" s="504"/>
      <c r="X531" s="504"/>
      <c r="Y531" s="504"/>
      <c r="Z531" s="504"/>
      <c r="AA531" s="504"/>
      <c r="AB531" s="504"/>
      <c r="AC531" s="504"/>
      <c r="AD531" s="504"/>
      <c r="AE531" s="504"/>
      <c r="AF531" s="504"/>
      <c r="AG531" s="504"/>
      <c r="AH531" s="504"/>
      <c r="AI531" s="504"/>
      <c r="AJ531" s="504"/>
      <c r="AK531" s="504"/>
      <c r="AL531" s="504"/>
    </row>
    <row r="532" spans="1:38" s="638" customFormat="1" ht="16.5" hidden="1" thickBot="1" x14ac:dyDescent="0.3">
      <c r="A532" s="611"/>
      <c r="B532" s="623" t="s">
        <v>293</v>
      </c>
      <c r="C532" s="613" t="s">
        <v>307</v>
      </c>
      <c r="D532" s="614">
        <f>'Pl 2014-17 PFC'!D492</f>
        <v>2899</v>
      </c>
      <c r="E532" s="614">
        <f>'Pl 2014-17 PFC'!E492</f>
        <v>5300</v>
      </c>
      <c r="F532" s="614">
        <f>'Pl 2014-17 PFC'!F492</f>
        <v>9600</v>
      </c>
      <c r="G532" s="614">
        <f>'Pl 2014-17 PFC'!G492</f>
        <v>9600</v>
      </c>
      <c r="H532" s="614">
        <f>'Pl 2014-17 PFC'!H492</f>
        <v>9600</v>
      </c>
      <c r="I532" s="614"/>
      <c r="J532" s="614"/>
      <c r="K532" s="504"/>
      <c r="L532" s="504"/>
      <c r="M532" s="504"/>
      <c r="N532" s="504"/>
      <c r="O532" s="504"/>
      <c r="P532" s="504"/>
      <c r="Q532" s="504"/>
      <c r="R532" s="504"/>
      <c r="S532" s="504"/>
      <c r="T532" s="504"/>
      <c r="U532" s="504"/>
      <c r="V532" s="504"/>
      <c r="W532" s="504"/>
      <c r="X532" s="504"/>
      <c r="Y532" s="504"/>
      <c r="Z532" s="504"/>
      <c r="AA532" s="504"/>
      <c r="AB532" s="504"/>
      <c r="AC532" s="504"/>
      <c r="AD532" s="504"/>
      <c r="AE532" s="504"/>
      <c r="AF532" s="504"/>
      <c r="AG532" s="504"/>
      <c r="AH532" s="504"/>
      <c r="AI532" s="504"/>
      <c r="AJ532" s="504"/>
      <c r="AK532" s="504"/>
      <c r="AL532" s="504"/>
    </row>
    <row r="533" spans="1:38" s="638" customFormat="1" ht="16.5" hidden="1" thickBot="1" x14ac:dyDescent="0.3">
      <c r="A533" s="611"/>
      <c r="B533" s="623" t="s">
        <v>449</v>
      </c>
      <c r="C533" s="613" t="s">
        <v>519</v>
      </c>
      <c r="D533" s="614" t="str">
        <f t="shared" ref="D533:H534" si="59">"$'Pl 2014-17 PFC'.$#ODWOŁANIE$#ODWOŁANIE"</f>
        <v>$'Pl 2014-17 PFC'.$#ODWOŁANIE$#ODWOŁANIE</v>
      </c>
      <c r="E533" s="614" t="str">
        <f t="shared" si="59"/>
        <v>$'Pl 2014-17 PFC'.$#ODWOŁANIE$#ODWOŁANIE</v>
      </c>
      <c r="F533" s="614" t="str">
        <f t="shared" si="59"/>
        <v>$'Pl 2014-17 PFC'.$#ODWOŁANIE$#ODWOŁANIE</v>
      </c>
      <c r="G533" s="614" t="str">
        <f t="shared" si="59"/>
        <v>$'Pl 2014-17 PFC'.$#ODWOŁANIE$#ODWOŁANIE</v>
      </c>
      <c r="H533" s="614" t="str">
        <f t="shared" si="59"/>
        <v>$'Pl 2014-17 PFC'.$#ODWOŁANIE$#ODWOŁANIE</v>
      </c>
      <c r="I533" s="614"/>
      <c r="J533" s="614"/>
      <c r="K533" s="504"/>
      <c r="L533" s="504"/>
      <c r="M533" s="504"/>
      <c r="N533" s="504"/>
      <c r="O533" s="504"/>
      <c r="P533" s="504"/>
      <c r="Q533" s="504"/>
      <c r="R533" s="504"/>
      <c r="S533" s="504"/>
      <c r="T533" s="504"/>
      <c r="U533" s="504"/>
      <c r="V533" s="504"/>
      <c r="W533" s="504"/>
      <c r="X533" s="504"/>
      <c r="Y533" s="504"/>
      <c r="Z533" s="504"/>
      <c r="AA533" s="504"/>
      <c r="AB533" s="504"/>
      <c r="AC533" s="504"/>
      <c r="AD533" s="504"/>
      <c r="AE533" s="504"/>
      <c r="AF533" s="504"/>
      <c r="AG533" s="504"/>
      <c r="AH533" s="504"/>
      <c r="AI533" s="504"/>
      <c r="AJ533" s="504"/>
      <c r="AK533" s="504"/>
      <c r="AL533" s="504"/>
    </row>
    <row r="534" spans="1:38" s="638" customFormat="1" ht="16.5" hidden="1" thickBot="1" x14ac:dyDescent="0.3">
      <c r="A534" s="611"/>
      <c r="B534" s="623" t="s">
        <v>518</v>
      </c>
      <c r="C534" s="613" t="s">
        <v>519</v>
      </c>
      <c r="D534" s="614" t="str">
        <f t="shared" si="59"/>
        <v>$'Pl 2014-17 PFC'.$#ODWOŁANIE$#ODWOŁANIE</v>
      </c>
      <c r="E534" s="614" t="str">
        <f t="shared" si="59"/>
        <v>$'Pl 2014-17 PFC'.$#ODWOŁANIE$#ODWOŁANIE</v>
      </c>
      <c r="F534" s="614" t="str">
        <f t="shared" si="59"/>
        <v>$'Pl 2014-17 PFC'.$#ODWOŁANIE$#ODWOŁANIE</v>
      </c>
      <c r="G534" s="614" t="str">
        <f t="shared" si="59"/>
        <v>$'Pl 2014-17 PFC'.$#ODWOŁANIE$#ODWOŁANIE</v>
      </c>
      <c r="H534" s="614" t="str">
        <f t="shared" si="59"/>
        <v>$'Pl 2014-17 PFC'.$#ODWOŁANIE$#ODWOŁANIE</v>
      </c>
      <c r="I534" s="614"/>
      <c r="J534" s="614"/>
      <c r="K534" s="504"/>
      <c r="L534" s="504"/>
      <c r="M534" s="504"/>
      <c r="N534" s="504"/>
      <c r="O534" s="504"/>
      <c r="P534" s="504"/>
      <c r="Q534" s="504"/>
      <c r="R534" s="504"/>
      <c r="S534" s="504"/>
      <c r="T534" s="504"/>
      <c r="U534" s="504"/>
      <c r="V534" s="504"/>
      <c r="W534" s="504"/>
      <c r="X534" s="504"/>
      <c r="Y534" s="504"/>
      <c r="Z534" s="504"/>
      <c r="AA534" s="504"/>
      <c r="AB534" s="504"/>
      <c r="AC534" s="504"/>
      <c r="AD534" s="504"/>
      <c r="AE534" s="504"/>
      <c r="AF534" s="504"/>
      <c r="AG534" s="504"/>
      <c r="AH534" s="504"/>
      <c r="AI534" s="504"/>
      <c r="AJ534" s="504"/>
      <c r="AK534" s="504"/>
      <c r="AL534" s="504"/>
    </row>
    <row r="535" spans="1:38" s="638" customFormat="1" ht="16.5" hidden="1" thickBot="1" x14ac:dyDescent="0.3">
      <c r="A535" s="611"/>
      <c r="B535" s="623" t="s">
        <v>398</v>
      </c>
      <c r="C535" s="613" t="s">
        <v>298</v>
      </c>
      <c r="D535" s="614">
        <f>'Pl 2014-17 PFC'!D493</f>
        <v>133</v>
      </c>
      <c r="E535" s="614">
        <f>'Pl 2014-17 PFC'!E493</f>
        <v>1000</v>
      </c>
      <c r="F535" s="614">
        <f>'Pl 2014-17 PFC'!F493</f>
        <v>2400</v>
      </c>
      <c r="G535" s="614">
        <f>'Pl 2014-17 PFC'!G493</f>
        <v>2400</v>
      </c>
      <c r="H535" s="614">
        <f>'Pl 2014-17 PFC'!H493</f>
        <v>2400</v>
      </c>
      <c r="I535" s="614"/>
      <c r="J535" s="614"/>
      <c r="K535" s="504"/>
      <c r="L535" s="504"/>
      <c r="M535" s="504"/>
      <c r="N535" s="504"/>
      <c r="O535" s="504"/>
      <c r="P535" s="504"/>
      <c r="Q535" s="504"/>
      <c r="R535" s="504"/>
      <c r="S535" s="504"/>
      <c r="T535" s="504"/>
      <c r="U535" s="504"/>
      <c r="V535" s="504"/>
      <c r="W535" s="504"/>
      <c r="X535" s="504"/>
      <c r="Y535" s="504"/>
      <c r="Z535" s="504"/>
      <c r="AA535" s="504"/>
      <c r="AB535" s="504"/>
      <c r="AC535" s="504"/>
      <c r="AD535" s="504"/>
      <c r="AE535" s="504"/>
      <c r="AF535" s="504"/>
      <c r="AG535" s="504"/>
      <c r="AH535" s="504"/>
      <c r="AI535" s="504"/>
      <c r="AJ535" s="504"/>
      <c r="AK535" s="504"/>
      <c r="AL535" s="504"/>
    </row>
    <row r="536" spans="1:38" s="638" customFormat="1" ht="16.5" hidden="1" thickBot="1" x14ac:dyDescent="0.3">
      <c r="A536" s="611"/>
      <c r="B536" s="623" t="s">
        <v>463</v>
      </c>
      <c r="C536" s="613" t="s">
        <v>307</v>
      </c>
      <c r="D536" s="614">
        <f>'Pl 2014-17 PFC'!D494</f>
        <v>0</v>
      </c>
      <c r="E536" s="614">
        <f>'Pl 2014-17 PFC'!E494</f>
        <v>100</v>
      </c>
      <c r="F536" s="614">
        <f>'Pl 2014-17 PFC'!F494</f>
        <v>0</v>
      </c>
      <c r="G536" s="614">
        <f>'Pl 2014-17 PFC'!G494</f>
        <v>0</v>
      </c>
      <c r="H536" s="614">
        <f>'Pl 2014-17 PFC'!H494</f>
        <v>0</v>
      </c>
      <c r="I536" s="614"/>
      <c r="J536" s="614"/>
      <c r="K536" s="504"/>
      <c r="L536" s="504"/>
      <c r="M536" s="504"/>
      <c r="N536" s="504"/>
      <c r="O536" s="504"/>
      <c r="P536" s="504"/>
      <c r="Q536" s="504"/>
      <c r="R536" s="504"/>
      <c r="S536" s="504"/>
      <c r="T536" s="504"/>
      <c r="U536" s="504"/>
      <c r="V536" s="504"/>
      <c r="W536" s="504"/>
      <c r="X536" s="504"/>
      <c r="Y536" s="504"/>
      <c r="Z536" s="504"/>
      <c r="AA536" s="504"/>
      <c r="AB536" s="504"/>
      <c r="AC536" s="504"/>
      <c r="AD536" s="504"/>
      <c r="AE536" s="504"/>
      <c r="AF536" s="504"/>
      <c r="AG536" s="504"/>
      <c r="AH536" s="504"/>
      <c r="AI536" s="504"/>
      <c r="AJ536" s="504"/>
      <c r="AK536" s="504"/>
      <c r="AL536" s="504"/>
    </row>
    <row r="537" spans="1:38" s="638" customFormat="1" ht="48" hidden="1" thickBot="1" x14ac:dyDescent="0.3">
      <c r="A537" s="611"/>
      <c r="B537" s="623" t="s">
        <v>466</v>
      </c>
      <c r="C537" s="613" t="s">
        <v>307</v>
      </c>
      <c r="D537" s="614">
        <f>'Pl 2014-17 PFC'!D495</f>
        <v>1866</v>
      </c>
      <c r="E537" s="614">
        <f>'Pl 2014-17 PFC'!E495</f>
        <v>2500</v>
      </c>
      <c r="F537" s="614">
        <f>'Pl 2014-17 PFC'!F495</f>
        <v>5500</v>
      </c>
      <c r="G537" s="614">
        <f>'Pl 2014-17 PFC'!G495</f>
        <v>5500</v>
      </c>
      <c r="H537" s="614">
        <f>'Pl 2014-17 PFC'!H495</f>
        <v>5500</v>
      </c>
      <c r="I537" s="614"/>
      <c r="J537" s="614"/>
      <c r="K537" s="504"/>
      <c r="L537" s="504"/>
      <c r="M537" s="504"/>
      <c r="N537" s="504"/>
      <c r="O537" s="504"/>
      <c r="P537" s="504"/>
      <c r="Q537" s="504"/>
      <c r="R537" s="504"/>
      <c r="S537" s="504"/>
      <c r="T537" s="504"/>
      <c r="U537" s="504"/>
      <c r="V537" s="504"/>
      <c r="W537" s="504"/>
      <c r="X537" s="504"/>
      <c r="Y537" s="504"/>
      <c r="Z537" s="504"/>
      <c r="AA537" s="504"/>
      <c r="AB537" s="504"/>
      <c r="AC537" s="504"/>
      <c r="AD537" s="504"/>
      <c r="AE537" s="504"/>
      <c r="AF537" s="504"/>
      <c r="AG537" s="504"/>
      <c r="AH537" s="504"/>
      <c r="AI537" s="504"/>
      <c r="AJ537" s="504"/>
      <c r="AK537" s="504"/>
      <c r="AL537" s="504"/>
    </row>
    <row r="538" spans="1:38" s="638" customFormat="1" ht="16.5" hidden="1" thickBot="1" x14ac:dyDescent="0.3">
      <c r="A538" s="611"/>
      <c r="B538" s="623" t="s">
        <v>411</v>
      </c>
      <c r="C538" s="613" t="s">
        <v>307</v>
      </c>
      <c r="D538" s="614">
        <f>'Pl 2014-17 PFC'!D496</f>
        <v>900</v>
      </c>
      <c r="E538" s="614">
        <f>'Pl 2014-17 PFC'!E496</f>
        <v>1700</v>
      </c>
      <c r="F538" s="614">
        <f>'Pl 2014-17 PFC'!F496</f>
        <v>1700</v>
      </c>
      <c r="G538" s="614">
        <f>'Pl 2014-17 PFC'!G496</f>
        <v>1700</v>
      </c>
      <c r="H538" s="614">
        <f>'Pl 2014-17 PFC'!H496</f>
        <v>1700</v>
      </c>
      <c r="I538" s="614"/>
      <c r="J538" s="614"/>
      <c r="K538" s="504"/>
      <c r="L538" s="504"/>
      <c r="M538" s="504"/>
      <c r="N538" s="504"/>
      <c r="O538" s="504"/>
      <c r="P538" s="504"/>
      <c r="Q538" s="504"/>
      <c r="R538" s="504"/>
      <c r="S538" s="504"/>
      <c r="T538" s="504"/>
      <c r="U538" s="504"/>
      <c r="V538" s="504"/>
      <c r="W538" s="504"/>
      <c r="X538" s="504"/>
      <c r="Y538" s="504"/>
      <c r="Z538" s="504"/>
      <c r="AA538" s="504"/>
      <c r="AB538" s="504"/>
      <c r="AC538" s="504"/>
      <c r="AD538" s="504"/>
      <c r="AE538" s="504"/>
      <c r="AF538" s="504"/>
      <c r="AG538" s="504"/>
      <c r="AH538" s="504"/>
      <c r="AI538" s="504"/>
      <c r="AJ538" s="504"/>
      <c r="AK538" s="504"/>
      <c r="AL538" s="504"/>
    </row>
    <row r="539" spans="1:38" s="638" customFormat="1" ht="32.25" hidden="1" thickBot="1" x14ac:dyDescent="0.3">
      <c r="A539" s="611"/>
      <c r="B539" s="623" t="s">
        <v>464</v>
      </c>
      <c r="C539" s="613" t="s">
        <v>307</v>
      </c>
      <c r="D539" s="614">
        <f>'Pl 2014-17 PFC'!D497</f>
        <v>0</v>
      </c>
      <c r="E539" s="614">
        <f>'Pl 2014-17 PFC'!E497</f>
        <v>0</v>
      </c>
      <c r="F539" s="614">
        <f>'Pl 2014-17 PFC'!F497</f>
        <v>0</v>
      </c>
      <c r="G539" s="614">
        <f>'Pl 2014-17 PFC'!G497</f>
        <v>0</v>
      </c>
      <c r="H539" s="614">
        <f>'Pl 2014-17 PFC'!H497</f>
        <v>0</v>
      </c>
      <c r="I539" s="614"/>
      <c r="J539" s="614"/>
      <c r="K539" s="504"/>
      <c r="L539" s="504"/>
      <c r="M539" s="504"/>
      <c r="N539" s="504"/>
      <c r="O539" s="504"/>
      <c r="P539" s="504"/>
      <c r="Q539" s="504"/>
      <c r="R539" s="504"/>
      <c r="S539" s="504"/>
      <c r="T539" s="504"/>
      <c r="U539" s="504"/>
      <c r="V539" s="504"/>
      <c r="W539" s="504"/>
      <c r="X539" s="504"/>
      <c r="Y539" s="504"/>
      <c r="Z539" s="504"/>
      <c r="AA539" s="504"/>
      <c r="AB539" s="504"/>
      <c r="AC539" s="504"/>
      <c r="AD539" s="504"/>
      <c r="AE539" s="504"/>
      <c r="AF539" s="504"/>
      <c r="AG539" s="504"/>
      <c r="AH539" s="504"/>
      <c r="AI539" s="504"/>
      <c r="AJ539" s="504"/>
      <c r="AK539" s="504"/>
      <c r="AL539" s="504"/>
    </row>
    <row r="540" spans="1:38" s="638" customFormat="1" ht="16.5" hidden="1" thickBot="1" x14ac:dyDescent="0.3">
      <c r="A540" s="611"/>
      <c r="B540" s="623" t="s">
        <v>166</v>
      </c>
      <c r="C540" s="613"/>
      <c r="D540" s="614">
        <f>'Pl 2014-17 PFC'!D498</f>
        <v>0</v>
      </c>
      <c r="E540" s="614">
        <f>'Pl 2014-17 PFC'!E498</f>
        <v>0</v>
      </c>
      <c r="F540" s="614">
        <f>'Pl 2014-17 PFC'!F498</f>
        <v>0</v>
      </c>
      <c r="G540" s="614">
        <f>'Pl 2014-17 PFC'!G498</f>
        <v>0</v>
      </c>
      <c r="H540" s="614">
        <f>'Pl 2014-17 PFC'!H498</f>
        <v>0</v>
      </c>
      <c r="I540" s="614"/>
      <c r="J540" s="614"/>
      <c r="K540" s="504"/>
      <c r="L540" s="504"/>
      <c r="M540" s="504"/>
      <c r="N540" s="504"/>
      <c r="O540" s="504"/>
      <c r="P540" s="504"/>
      <c r="Q540" s="504"/>
      <c r="R540" s="504"/>
      <c r="S540" s="504"/>
      <c r="T540" s="504"/>
      <c r="U540" s="504"/>
      <c r="V540" s="504"/>
      <c r="W540" s="504"/>
      <c r="X540" s="504"/>
      <c r="Y540" s="504"/>
      <c r="Z540" s="504"/>
      <c r="AA540" s="504"/>
      <c r="AB540" s="504"/>
      <c r="AC540" s="504"/>
      <c r="AD540" s="504"/>
      <c r="AE540" s="504"/>
      <c r="AF540" s="504"/>
      <c r="AG540" s="504"/>
      <c r="AH540" s="504"/>
      <c r="AI540" s="504"/>
      <c r="AJ540" s="504"/>
      <c r="AK540" s="504"/>
      <c r="AL540" s="504"/>
    </row>
    <row r="541" spans="1:38" s="638" customFormat="1" ht="16.5" hidden="1" thickBot="1" x14ac:dyDescent="0.3">
      <c r="A541" s="611"/>
      <c r="B541" s="623" t="s">
        <v>303</v>
      </c>
      <c r="C541" s="613"/>
      <c r="D541" s="614">
        <f>'Pl 2014-17 PFC'!D499</f>
        <v>0</v>
      </c>
      <c r="E541" s="614">
        <f>'Pl 2014-17 PFC'!E499</f>
        <v>0</v>
      </c>
      <c r="F541" s="614">
        <f>'Pl 2014-17 PFC'!F499</f>
        <v>0</v>
      </c>
      <c r="G541" s="614">
        <f>'Pl 2014-17 PFC'!G499</f>
        <v>0</v>
      </c>
      <c r="H541" s="614">
        <f>'Pl 2014-17 PFC'!H499</f>
        <v>0</v>
      </c>
      <c r="I541" s="614"/>
      <c r="J541" s="614"/>
      <c r="K541" s="504"/>
      <c r="L541" s="504"/>
      <c r="M541" s="504"/>
      <c r="N541" s="504"/>
      <c r="O541" s="504"/>
      <c r="P541" s="504"/>
      <c r="Q541" s="504"/>
      <c r="R541" s="504"/>
      <c r="S541" s="504"/>
      <c r="T541" s="504"/>
      <c r="U541" s="504"/>
      <c r="V541" s="504"/>
      <c r="W541" s="504"/>
      <c r="X541" s="504"/>
      <c r="Y541" s="504"/>
      <c r="Z541" s="504"/>
      <c r="AA541" s="504"/>
      <c r="AB541" s="504"/>
      <c r="AC541" s="504"/>
      <c r="AD541" s="504"/>
      <c r="AE541" s="504"/>
      <c r="AF541" s="504"/>
      <c r="AG541" s="504"/>
      <c r="AH541" s="504"/>
      <c r="AI541" s="504"/>
      <c r="AJ541" s="504"/>
      <c r="AK541" s="504"/>
      <c r="AL541" s="504"/>
    </row>
    <row r="542" spans="1:38" s="638" customFormat="1" ht="16.5" hidden="1" thickBot="1" x14ac:dyDescent="0.3">
      <c r="A542" s="611"/>
      <c r="B542" s="623" t="s">
        <v>168</v>
      </c>
      <c r="C542" s="613"/>
      <c r="D542" s="614">
        <f>'Pl 2014-17 PFC'!D500</f>
        <v>0</v>
      </c>
      <c r="E542" s="614">
        <f>'Pl 2014-17 PFC'!E500</f>
        <v>0</v>
      </c>
      <c r="F542" s="614">
        <f>'Pl 2014-17 PFC'!F500</f>
        <v>0</v>
      </c>
      <c r="G542" s="614">
        <f>'Pl 2014-17 PFC'!G500</f>
        <v>0</v>
      </c>
      <c r="H542" s="614">
        <f>'Pl 2014-17 PFC'!H500</f>
        <v>0</v>
      </c>
      <c r="I542" s="614"/>
      <c r="J542" s="614"/>
      <c r="K542" s="504"/>
      <c r="L542" s="504"/>
      <c r="M542" s="504"/>
      <c r="N542" s="504"/>
      <c r="O542" s="504"/>
      <c r="P542" s="504"/>
      <c r="Q542" s="504"/>
      <c r="R542" s="504"/>
      <c r="S542" s="504"/>
      <c r="T542" s="504"/>
      <c r="U542" s="504"/>
      <c r="V542" s="504"/>
      <c r="W542" s="504"/>
      <c r="X542" s="504"/>
      <c r="Y542" s="504"/>
      <c r="Z542" s="504"/>
      <c r="AA542" s="504"/>
      <c r="AB542" s="504"/>
      <c r="AC542" s="504"/>
      <c r="AD542" s="504"/>
      <c r="AE542" s="504"/>
      <c r="AF542" s="504"/>
      <c r="AG542" s="504"/>
      <c r="AH542" s="504"/>
      <c r="AI542" s="504"/>
      <c r="AJ542" s="504"/>
      <c r="AK542" s="504"/>
      <c r="AL542" s="504"/>
    </row>
    <row r="543" spans="1:38" s="638" customFormat="1" ht="16.5" hidden="1" thickBot="1" x14ac:dyDescent="0.3">
      <c r="A543" s="611"/>
      <c r="B543" s="623" t="s">
        <v>170</v>
      </c>
      <c r="C543" s="613"/>
      <c r="D543" s="614">
        <f>'Pl 2014-17 PFC'!D501</f>
        <v>0</v>
      </c>
      <c r="E543" s="614">
        <f>'Pl 2014-17 PFC'!E501</f>
        <v>0</v>
      </c>
      <c r="F543" s="614">
        <f>'Pl 2014-17 PFC'!F501</f>
        <v>0</v>
      </c>
      <c r="G543" s="614">
        <f>'Pl 2014-17 PFC'!G501</f>
        <v>0</v>
      </c>
      <c r="H543" s="614">
        <f>'Pl 2014-17 PFC'!H501</f>
        <v>0</v>
      </c>
      <c r="I543" s="614"/>
      <c r="J543" s="614"/>
      <c r="K543" s="504"/>
      <c r="L543" s="504"/>
      <c r="M543" s="504"/>
      <c r="N543" s="504"/>
      <c r="O543" s="504"/>
      <c r="P543" s="504"/>
      <c r="Q543" s="504"/>
      <c r="R543" s="504"/>
      <c r="S543" s="504"/>
      <c r="T543" s="504"/>
      <c r="U543" s="504"/>
      <c r="V543" s="504"/>
      <c r="W543" s="504"/>
      <c r="X543" s="504"/>
      <c r="Y543" s="504"/>
      <c r="Z543" s="504"/>
      <c r="AA543" s="504"/>
      <c r="AB543" s="504"/>
      <c r="AC543" s="504"/>
      <c r="AD543" s="504"/>
      <c r="AE543" s="504"/>
      <c r="AF543" s="504"/>
      <c r="AG543" s="504"/>
      <c r="AH543" s="504"/>
      <c r="AI543" s="504"/>
      <c r="AJ543" s="504"/>
      <c r="AK543" s="504"/>
      <c r="AL543" s="504"/>
    </row>
    <row r="544" spans="1:38" s="638" customFormat="1" ht="16.5" hidden="1" thickBot="1" x14ac:dyDescent="0.3">
      <c r="A544" s="611"/>
      <c r="B544" s="623" t="s">
        <v>169</v>
      </c>
      <c r="C544" s="613"/>
      <c r="D544" s="614">
        <f>'Pl 2014-17 PFC'!D502</f>
        <v>0</v>
      </c>
      <c r="E544" s="614">
        <f>'Pl 2014-17 PFC'!E502</f>
        <v>0</v>
      </c>
      <c r="F544" s="614">
        <f>'Pl 2014-17 PFC'!F502</f>
        <v>0</v>
      </c>
      <c r="G544" s="614">
        <f>'Pl 2014-17 PFC'!G502</f>
        <v>0</v>
      </c>
      <c r="H544" s="614">
        <f>'Pl 2014-17 PFC'!H502</f>
        <v>0</v>
      </c>
      <c r="I544" s="614"/>
      <c r="J544" s="614"/>
      <c r="K544" s="504"/>
      <c r="L544" s="504"/>
      <c r="M544" s="504"/>
      <c r="N544" s="504"/>
      <c r="O544" s="504"/>
      <c r="P544" s="504"/>
      <c r="Q544" s="504"/>
      <c r="R544" s="504"/>
      <c r="S544" s="504"/>
      <c r="T544" s="504"/>
      <c r="U544" s="504"/>
      <c r="V544" s="504"/>
      <c r="W544" s="504"/>
      <c r="X544" s="504"/>
      <c r="Y544" s="504"/>
      <c r="Z544" s="504"/>
      <c r="AA544" s="504"/>
      <c r="AB544" s="504"/>
      <c r="AC544" s="504"/>
      <c r="AD544" s="504"/>
      <c r="AE544" s="504"/>
      <c r="AF544" s="504"/>
      <c r="AG544" s="504"/>
      <c r="AH544" s="504"/>
      <c r="AI544" s="504"/>
      <c r="AJ544" s="504"/>
      <c r="AK544" s="504"/>
      <c r="AL544" s="504"/>
    </row>
    <row r="545" spans="1:38" s="638" customFormat="1" ht="16.5" hidden="1" thickBot="1" x14ac:dyDescent="0.3">
      <c r="A545" s="611"/>
      <c r="B545" s="623" t="s">
        <v>195</v>
      </c>
      <c r="C545" s="613"/>
      <c r="D545" s="614">
        <f>'Pl 2014-17 PFC'!D503</f>
        <v>0</v>
      </c>
      <c r="E545" s="614">
        <f>'Pl 2014-17 PFC'!E503</f>
        <v>0</v>
      </c>
      <c r="F545" s="614">
        <f>'Pl 2014-17 PFC'!F503</f>
        <v>0</v>
      </c>
      <c r="G545" s="614">
        <f>'Pl 2014-17 PFC'!G503</f>
        <v>0</v>
      </c>
      <c r="H545" s="614">
        <f>'Pl 2014-17 PFC'!H503</f>
        <v>0</v>
      </c>
      <c r="I545" s="614"/>
      <c r="J545" s="614"/>
      <c r="K545" s="504"/>
      <c r="L545" s="504"/>
      <c r="M545" s="504"/>
      <c r="N545" s="504"/>
      <c r="O545" s="504"/>
      <c r="P545" s="504"/>
      <c r="Q545" s="504"/>
      <c r="R545" s="504"/>
      <c r="S545" s="504"/>
      <c r="T545" s="504"/>
      <c r="U545" s="504"/>
      <c r="V545" s="504"/>
      <c r="W545" s="504"/>
      <c r="X545" s="504"/>
      <c r="Y545" s="504"/>
      <c r="Z545" s="504"/>
      <c r="AA545" s="504"/>
      <c r="AB545" s="504"/>
      <c r="AC545" s="504"/>
      <c r="AD545" s="504"/>
      <c r="AE545" s="504"/>
      <c r="AF545" s="504"/>
      <c r="AG545" s="504"/>
      <c r="AH545" s="504"/>
      <c r="AI545" s="504"/>
      <c r="AJ545" s="504"/>
      <c r="AK545" s="504"/>
      <c r="AL545" s="504"/>
    </row>
    <row r="546" spans="1:38" s="638" customFormat="1" ht="16.5" hidden="1" thickBot="1" x14ac:dyDescent="0.3">
      <c r="A546" s="611"/>
      <c r="B546" s="623" t="s">
        <v>174</v>
      </c>
      <c r="C546" s="613"/>
      <c r="D546" s="614">
        <f>'Pl 2014-17 PFC'!D504</f>
        <v>0</v>
      </c>
      <c r="E546" s="614">
        <f>'Pl 2014-17 PFC'!E504</f>
        <v>0</v>
      </c>
      <c r="F546" s="614">
        <f>'Pl 2014-17 PFC'!F504</f>
        <v>0</v>
      </c>
      <c r="G546" s="614">
        <f>'Pl 2014-17 PFC'!G504</f>
        <v>0</v>
      </c>
      <c r="H546" s="614">
        <f>'Pl 2014-17 PFC'!H504</f>
        <v>0</v>
      </c>
      <c r="I546" s="614"/>
      <c r="J546" s="614"/>
      <c r="K546" s="504"/>
      <c r="L546" s="504"/>
      <c r="M546" s="504"/>
      <c r="N546" s="504"/>
      <c r="O546" s="504"/>
      <c r="P546" s="504"/>
      <c r="Q546" s="504"/>
      <c r="R546" s="504"/>
      <c r="S546" s="504"/>
      <c r="T546" s="504"/>
      <c r="U546" s="504"/>
      <c r="V546" s="504"/>
      <c r="W546" s="504"/>
      <c r="X546" s="504"/>
      <c r="Y546" s="504"/>
      <c r="Z546" s="504"/>
      <c r="AA546" s="504"/>
      <c r="AB546" s="504"/>
      <c r="AC546" s="504"/>
      <c r="AD546" s="504"/>
      <c r="AE546" s="504"/>
      <c r="AF546" s="504"/>
      <c r="AG546" s="504"/>
      <c r="AH546" s="504"/>
      <c r="AI546" s="504"/>
      <c r="AJ546" s="504"/>
      <c r="AK546" s="504"/>
      <c r="AL546" s="504"/>
    </row>
    <row r="547" spans="1:38" s="638" customFormat="1" ht="16.5" hidden="1" thickBot="1" x14ac:dyDescent="0.3">
      <c r="A547" s="611"/>
      <c r="B547" s="623" t="s">
        <v>467</v>
      </c>
      <c r="C547" s="613"/>
      <c r="D547" s="614">
        <f>'Pl 2014-17 PFC'!D505</f>
        <v>0</v>
      </c>
      <c r="E547" s="614">
        <f>'Pl 2014-17 PFC'!E505</f>
        <v>0</v>
      </c>
      <c r="F547" s="614">
        <f>'Pl 2014-17 PFC'!F505</f>
        <v>0</v>
      </c>
      <c r="G547" s="614">
        <f>'Pl 2014-17 PFC'!G505</f>
        <v>0</v>
      </c>
      <c r="H547" s="614">
        <f>'Pl 2014-17 PFC'!H505</f>
        <v>0</v>
      </c>
      <c r="I547" s="614"/>
      <c r="J547" s="614"/>
      <c r="K547" s="504"/>
      <c r="L547" s="504"/>
      <c r="M547" s="504"/>
      <c r="N547" s="504"/>
      <c r="O547" s="504"/>
      <c r="P547" s="504"/>
      <c r="Q547" s="504"/>
      <c r="R547" s="504"/>
      <c r="S547" s="504"/>
      <c r="T547" s="504"/>
      <c r="U547" s="504"/>
      <c r="V547" s="504"/>
      <c r="W547" s="504"/>
      <c r="X547" s="504"/>
      <c r="Y547" s="504"/>
      <c r="Z547" s="504"/>
      <c r="AA547" s="504"/>
      <c r="AB547" s="504"/>
      <c r="AC547" s="504"/>
      <c r="AD547" s="504"/>
      <c r="AE547" s="504"/>
      <c r="AF547" s="504"/>
      <c r="AG547" s="504"/>
      <c r="AH547" s="504"/>
      <c r="AI547" s="504"/>
      <c r="AJ547" s="504"/>
      <c r="AK547" s="504"/>
      <c r="AL547" s="504"/>
    </row>
    <row r="548" spans="1:38" s="638" customFormat="1" ht="16.5" hidden="1" thickBot="1" x14ac:dyDescent="0.3">
      <c r="A548" s="611"/>
      <c r="B548" s="623" t="s">
        <v>178</v>
      </c>
      <c r="C548" s="613"/>
      <c r="D548" s="614">
        <f>'Pl 2014-17 PFC'!D506</f>
        <v>0</v>
      </c>
      <c r="E548" s="614">
        <f>'Pl 2014-17 PFC'!E506</f>
        <v>0</v>
      </c>
      <c r="F548" s="614">
        <f>'Pl 2014-17 PFC'!F506</f>
        <v>0</v>
      </c>
      <c r="G548" s="614">
        <f>'Pl 2014-17 PFC'!G506</f>
        <v>0</v>
      </c>
      <c r="H548" s="614">
        <f>'Pl 2014-17 PFC'!H506</f>
        <v>0</v>
      </c>
      <c r="I548" s="614"/>
      <c r="J548" s="614"/>
      <c r="K548" s="504"/>
      <c r="L548" s="504"/>
      <c r="M548" s="504"/>
      <c r="N548" s="504"/>
      <c r="O548" s="504"/>
      <c r="P548" s="504"/>
      <c r="Q548" s="504"/>
      <c r="R548" s="504"/>
      <c r="S548" s="504"/>
      <c r="T548" s="504"/>
      <c r="U548" s="504"/>
      <c r="V548" s="504"/>
      <c r="W548" s="504"/>
      <c r="X548" s="504"/>
      <c r="Y548" s="504"/>
      <c r="Z548" s="504"/>
      <c r="AA548" s="504"/>
      <c r="AB548" s="504"/>
      <c r="AC548" s="504"/>
      <c r="AD548" s="504"/>
      <c r="AE548" s="504"/>
      <c r="AF548" s="504"/>
      <c r="AG548" s="504"/>
      <c r="AH548" s="504"/>
      <c r="AI548" s="504"/>
      <c r="AJ548" s="504"/>
      <c r="AK548" s="504"/>
      <c r="AL548" s="504"/>
    </row>
    <row r="549" spans="1:38" s="638" customFormat="1" ht="16.5" hidden="1" thickBot="1" x14ac:dyDescent="0.3">
      <c r="A549" s="611"/>
      <c r="B549" s="623" t="s">
        <v>198</v>
      </c>
      <c r="C549" s="613"/>
      <c r="D549" s="614">
        <f>'Pl 2014-17 PFC'!D507</f>
        <v>0</v>
      </c>
      <c r="E549" s="614">
        <f>'Pl 2014-17 PFC'!E507</f>
        <v>0</v>
      </c>
      <c r="F549" s="614">
        <f>'Pl 2014-17 PFC'!F507</f>
        <v>0</v>
      </c>
      <c r="G549" s="614">
        <f>'Pl 2014-17 PFC'!G507</f>
        <v>0</v>
      </c>
      <c r="H549" s="614">
        <f>'Pl 2014-17 PFC'!H507</f>
        <v>0</v>
      </c>
      <c r="I549" s="614"/>
      <c r="J549" s="614"/>
      <c r="K549" s="504"/>
      <c r="L549" s="504"/>
      <c r="M549" s="504"/>
      <c r="N549" s="504"/>
      <c r="O549" s="504"/>
      <c r="P549" s="504"/>
      <c r="Q549" s="504"/>
      <c r="R549" s="504"/>
      <c r="S549" s="504"/>
      <c r="T549" s="504"/>
      <c r="U549" s="504"/>
      <c r="V549" s="504"/>
      <c r="W549" s="504"/>
      <c r="X549" s="504"/>
      <c r="Y549" s="504"/>
      <c r="Z549" s="504"/>
      <c r="AA549" s="504"/>
      <c r="AB549" s="504"/>
      <c r="AC549" s="504"/>
      <c r="AD549" s="504"/>
      <c r="AE549" s="504"/>
      <c r="AF549" s="504"/>
      <c r="AG549" s="504"/>
      <c r="AH549" s="504"/>
      <c r="AI549" s="504"/>
      <c r="AJ549" s="504"/>
      <c r="AK549" s="504"/>
      <c r="AL549" s="504"/>
    </row>
    <row r="550" spans="1:38" s="638" customFormat="1" ht="16.5" hidden="1" thickBot="1" x14ac:dyDescent="0.3">
      <c r="A550" s="611"/>
      <c r="B550" s="623"/>
      <c r="C550" s="613"/>
      <c r="D550" s="614"/>
      <c r="E550" s="614"/>
      <c r="F550" s="614"/>
      <c r="G550" s="614"/>
      <c r="H550" s="614"/>
      <c r="I550" s="614"/>
      <c r="J550" s="614"/>
      <c r="K550" s="504"/>
      <c r="L550" s="504"/>
      <c r="M550" s="504"/>
      <c r="N550" s="504"/>
      <c r="O550" s="504"/>
      <c r="P550" s="504"/>
      <c r="Q550" s="504"/>
      <c r="R550" s="504"/>
      <c r="S550" s="504"/>
      <c r="T550" s="504"/>
      <c r="U550" s="504"/>
      <c r="V550" s="504"/>
      <c r="W550" s="504"/>
      <c r="X550" s="504"/>
      <c r="Y550" s="504"/>
      <c r="Z550" s="504"/>
      <c r="AA550" s="504"/>
      <c r="AB550" s="504"/>
      <c r="AC550" s="504"/>
      <c r="AD550" s="504"/>
      <c r="AE550" s="504"/>
      <c r="AF550" s="504"/>
      <c r="AG550" s="504"/>
      <c r="AH550" s="504"/>
      <c r="AI550" s="504"/>
      <c r="AJ550" s="504"/>
      <c r="AK550" s="504"/>
      <c r="AL550" s="504"/>
    </row>
    <row r="551" spans="1:38" s="616" customFormat="1" ht="16.5" hidden="1" thickBot="1" x14ac:dyDescent="0.3">
      <c r="A551" s="611" t="s">
        <v>35</v>
      </c>
      <c r="B551" s="623" t="s">
        <v>468</v>
      </c>
      <c r="C551" s="613" t="s">
        <v>121</v>
      </c>
      <c r="D551" s="614">
        <f>'Pl 2014-17 PFC'!D509</f>
        <v>787474</v>
      </c>
      <c r="E551" s="614">
        <f>'Pl 2014-17 PFC'!E509</f>
        <v>880400</v>
      </c>
      <c r="F551" s="614">
        <f>'Pl 2014-17 PFC'!F509</f>
        <v>1020400</v>
      </c>
      <c r="G551" s="614">
        <f>'Pl 2014-17 PFC'!G509</f>
        <v>1100400</v>
      </c>
      <c r="H551" s="614">
        <f>'Pl 2014-17 PFC'!H509</f>
        <v>1200400</v>
      </c>
      <c r="I551" s="614"/>
      <c r="J551" s="614"/>
      <c r="K551" s="615"/>
      <c r="L551" s="615"/>
      <c r="M551" s="615"/>
      <c r="N551" s="615"/>
      <c r="O551" s="615"/>
      <c r="P551" s="615"/>
      <c r="Q551" s="615"/>
      <c r="R551" s="615"/>
      <c r="S551" s="615"/>
      <c r="T551" s="615"/>
      <c r="U551" s="615"/>
      <c r="V551" s="615"/>
      <c r="W551" s="615"/>
      <c r="X551" s="615"/>
      <c r="Y551" s="615"/>
      <c r="Z551" s="615"/>
      <c r="AA551" s="615"/>
      <c r="AB551" s="615"/>
      <c r="AC551" s="615"/>
      <c r="AD551" s="615"/>
      <c r="AE551" s="615"/>
      <c r="AF551" s="615"/>
      <c r="AG551" s="615"/>
      <c r="AH551" s="615"/>
      <c r="AI551" s="615"/>
      <c r="AJ551" s="615"/>
      <c r="AK551" s="615"/>
      <c r="AL551" s="615"/>
    </row>
    <row r="552" spans="1:38" s="616" customFormat="1" ht="16.5" hidden="1" thickBot="1" x14ac:dyDescent="0.3">
      <c r="A552" s="611"/>
      <c r="B552" s="623" t="s">
        <v>312</v>
      </c>
      <c r="C552" s="624"/>
      <c r="D552" s="614"/>
      <c r="E552" s="614"/>
      <c r="F552" s="614"/>
      <c r="G552" s="614"/>
      <c r="H552" s="614"/>
      <c r="I552" s="614"/>
      <c r="J552" s="614"/>
      <c r="K552" s="615"/>
      <c r="L552" s="615"/>
      <c r="M552" s="615"/>
      <c r="N552" s="615"/>
      <c r="O552" s="615"/>
      <c r="P552" s="615"/>
      <c r="Q552" s="615"/>
      <c r="R552" s="615"/>
      <c r="S552" s="615"/>
      <c r="T552" s="615"/>
      <c r="U552" s="615"/>
      <c r="V552" s="615"/>
      <c r="W552" s="615"/>
      <c r="X552" s="615"/>
      <c r="Y552" s="615"/>
      <c r="Z552" s="615"/>
      <c r="AA552" s="615"/>
      <c r="AB552" s="615"/>
      <c r="AC552" s="615"/>
      <c r="AD552" s="615"/>
      <c r="AE552" s="615"/>
      <c r="AF552" s="615"/>
      <c r="AG552" s="615"/>
      <c r="AH552" s="615"/>
      <c r="AI552" s="615"/>
      <c r="AJ552" s="615"/>
      <c r="AK552" s="615"/>
      <c r="AL552" s="615"/>
    </row>
    <row r="553" spans="1:38" s="638" customFormat="1" ht="16.5" hidden="1" thickBot="1" x14ac:dyDescent="0.3">
      <c r="A553" s="611" t="s">
        <v>469</v>
      </c>
      <c r="B553" s="623" t="s">
        <v>313</v>
      </c>
      <c r="C553" s="613"/>
      <c r="D553" s="614">
        <f>'Pl 2014-17 PFC'!D511</f>
        <v>119600</v>
      </c>
      <c r="E553" s="614">
        <f>'Pl 2014-17 PFC'!E511</f>
        <v>146341</v>
      </c>
      <c r="F553" s="614">
        <f>'Pl 2014-17 PFC'!F511</f>
        <v>146341</v>
      </c>
      <c r="G553" s="614">
        <f>'Pl 2014-17 PFC'!G511</f>
        <v>146341</v>
      </c>
      <c r="H553" s="614">
        <f>'Pl 2014-17 PFC'!H511</f>
        <v>146341</v>
      </c>
      <c r="I553" s="614"/>
      <c r="J553" s="614"/>
      <c r="K553" s="504"/>
      <c r="L553" s="504"/>
      <c r="M553" s="504"/>
      <c r="N553" s="504"/>
      <c r="O553" s="504"/>
      <c r="P553" s="504"/>
      <c r="Q553" s="504"/>
      <c r="R553" s="504"/>
      <c r="S553" s="504"/>
      <c r="T553" s="504"/>
      <c r="U553" s="504"/>
      <c r="V553" s="504"/>
      <c r="W553" s="504"/>
      <c r="X553" s="504"/>
      <c r="Y553" s="504"/>
      <c r="Z553" s="504"/>
      <c r="AA553" s="504"/>
      <c r="AB553" s="504"/>
      <c r="AC553" s="504"/>
      <c r="AD553" s="504"/>
      <c r="AE553" s="504"/>
      <c r="AF553" s="504"/>
      <c r="AG553" s="504"/>
      <c r="AH553" s="504"/>
      <c r="AI553" s="504"/>
      <c r="AJ553" s="504"/>
      <c r="AK553" s="504"/>
      <c r="AL553" s="504"/>
    </row>
    <row r="554" spans="1:38" s="638" customFormat="1" ht="16.5" hidden="1" thickBot="1" x14ac:dyDescent="0.3">
      <c r="A554" s="611"/>
      <c r="B554" s="623"/>
      <c r="C554" s="613"/>
      <c r="D554" s="614"/>
      <c r="E554" s="614"/>
      <c r="F554" s="614"/>
      <c r="G554" s="614"/>
      <c r="H554" s="614"/>
      <c r="I554" s="614"/>
      <c r="J554" s="614"/>
      <c r="K554" s="504"/>
      <c r="L554" s="504"/>
      <c r="M554" s="504"/>
      <c r="N554" s="504"/>
      <c r="O554" s="504"/>
      <c r="P554" s="504"/>
      <c r="Q554" s="504"/>
      <c r="R554" s="504"/>
      <c r="S554" s="504"/>
      <c r="T554" s="504"/>
      <c r="U554" s="504"/>
      <c r="V554" s="504"/>
      <c r="W554" s="504"/>
      <c r="X554" s="504"/>
      <c r="Y554" s="504"/>
      <c r="Z554" s="504"/>
      <c r="AA554" s="504"/>
      <c r="AB554" s="504"/>
      <c r="AC554" s="504"/>
      <c r="AD554" s="504"/>
      <c r="AE554" s="504"/>
      <c r="AF554" s="504"/>
      <c r="AG554" s="504"/>
      <c r="AH554" s="504"/>
      <c r="AI554" s="504"/>
      <c r="AJ554" s="504"/>
      <c r="AK554" s="504"/>
      <c r="AL554" s="504"/>
    </row>
    <row r="555" spans="1:38" s="638" customFormat="1" ht="16.5" hidden="1" thickBot="1" x14ac:dyDescent="0.3">
      <c r="A555" s="611" t="s">
        <v>471</v>
      </c>
      <c r="B555" s="623" t="s">
        <v>314</v>
      </c>
      <c r="C555" s="613"/>
      <c r="D555" s="614">
        <f>'Pl 2014-17 PFC'!D513</f>
        <v>2990</v>
      </c>
      <c r="E555" s="614">
        <f>'Pl 2014-17 PFC'!E513</f>
        <v>3659</v>
      </c>
      <c r="F555" s="614">
        <f>'Pl 2014-17 PFC'!F513</f>
        <v>3659</v>
      </c>
      <c r="G555" s="614">
        <f>'Pl 2014-17 PFC'!G513</f>
        <v>3659</v>
      </c>
      <c r="H555" s="614">
        <f>'Pl 2014-17 PFC'!H513</f>
        <v>3659</v>
      </c>
      <c r="I555" s="614"/>
      <c r="J555" s="614"/>
      <c r="K555" s="504"/>
      <c r="L555" s="504"/>
      <c r="M555" s="504"/>
      <c r="N555" s="504"/>
      <c r="O555" s="504"/>
      <c r="P555" s="504"/>
      <c r="Q555" s="504"/>
      <c r="R555" s="504"/>
      <c r="S555" s="504"/>
      <c r="T555" s="504"/>
      <c r="U555" s="504"/>
      <c r="V555" s="504"/>
      <c r="W555" s="504"/>
      <c r="X555" s="504"/>
      <c r="Y555" s="504"/>
      <c r="Z555" s="504"/>
      <c r="AA555" s="504"/>
      <c r="AB555" s="504"/>
      <c r="AC555" s="504"/>
      <c r="AD555" s="504"/>
      <c r="AE555" s="504"/>
      <c r="AF555" s="504"/>
      <c r="AG555" s="504"/>
      <c r="AH555" s="504"/>
      <c r="AI555" s="504"/>
      <c r="AJ555" s="504"/>
      <c r="AK555" s="504"/>
      <c r="AL555" s="504"/>
    </row>
    <row r="556" spans="1:38" s="638" customFormat="1" ht="16.5" hidden="1" thickBot="1" x14ac:dyDescent="0.3">
      <c r="A556" s="611"/>
      <c r="B556" s="623"/>
      <c r="C556" s="613"/>
      <c r="D556" s="614"/>
      <c r="E556" s="614"/>
      <c r="F556" s="614"/>
      <c r="G556" s="614"/>
      <c r="H556" s="614"/>
      <c r="I556" s="614"/>
      <c r="J556" s="614"/>
      <c r="K556" s="504"/>
      <c r="L556" s="504"/>
      <c r="M556" s="504"/>
      <c r="N556" s="504"/>
      <c r="O556" s="504"/>
      <c r="P556" s="504"/>
      <c r="Q556" s="504"/>
      <c r="R556" s="504"/>
      <c r="S556" s="504"/>
      <c r="T556" s="504"/>
      <c r="U556" s="504"/>
      <c r="V556" s="504"/>
      <c r="W556" s="504"/>
      <c r="X556" s="504"/>
      <c r="Y556" s="504"/>
      <c r="Z556" s="504"/>
      <c r="AA556" s="504"/>
      <c r="AB556" s="504"/>
      <c r="AC556" s="504"/>
      <c r="AD556" s="504"/>
      <c r="AE556" s="504"/>
      <c r="AF556" s="504"/>
      <c r="AG556" s="504"/>
      <c r="AH556" s="504"/>
      <c r="AI556" s="504"/>
      <c r="AJ556" s="504"/>
      <c r="AK556" s="504"/>
      <c r="AL556" s="504"/>
    </row>
    <row r="557" spans="1:38" s="638" customFormat="1" ht="16.5" hidden="1" thickBot="1" x14ac:dyDescent="0.3">
      <c r="A557" s="611" t="s">
        <v>473</v>
      </c>
      <c r="B557" s="623" t="s">
        <v>315</v>
      </c>
      <c r="C557" s="613"/>
      <c r="D557" s="614">
        <f>'Pl 2014-17 PFC'!D515</f>
        <v>648667</v>
      </c>
      <c r="E557" s="614">
        <f>'Pl 2014-17 PFC'!E515</f>
        <v>712586</v>
      </c>
      <c r="F557" s="614">
        <f>'Pl 2014-17 PFC'!F515</f>
        <v>849170</v>
      </c>
      <c r="G557" s="614">
        <f>'Pl 2014-17 PFC'!G515</f>
        <v>927220</v>
      </c>
      <c r="H557" s="614">
        <f>'Pl 2014-17 PFC'!H515</f>
        <v>1024780</v>
      </c>
      <c r="I557" s="614"/>
      <c r="J557" s="614"/>
      <c r="K557" s="504"/>
      <c r="L557" s="504"/>
      <c r="M557" s="504"/>
      <c r="N557" s="504"/>
      <c r="O557" s="504"/>
      <c r="P557" s="504"/>
      <c r="Q557" s="504"/>
      <c r="R557" s="504"/>
      <c r="S557" s="504"/>
      <c r="T557" s="504"/>
      <c r="U557" s="504"/>
      <c r="V557" s="504"/>
      <c r="W557" s="504"/>
      <c r="X557" s="504"/>
      <c r="Y557" s="504"/>
      <c r="Z557" s="504"/>
      <c r="AA557" s="504"/>
      <c r="AB557" s="504"/>
      <c r="AC557" s="504"/>
      <c r="AD557" s="504"/>
      <c r="AE557" s="504"/>
      <c r="AF557" s="504"/>
      <c r="AG557" s="504"/>
      <c r="AH557" s="504"/>
      <c r="AI557" s="504"/>
      <c r="AJ557" s="504"/>
      <c r="AK557" s="504"/>
      <c r="AL557" s="504"/>
    </row>
    <row r="558" spans="1:38" s="616" customFormat="1" ht="16.5" hidden="1" thickBot="1" x14ac:dyDescent="0.3">
      <c r="A558" s="611"/>
      <c r="B558" s="623"/>
      <c r="C558" s="613"/>
      <c r="D558" s="614"/>
      <c r="E558" s="614"/>
      <c r="F558" s="614"/>
      <c r="G558" s="614"/>
      <c r="H558" s="614"/>
      <c r="I558" s="614"/>
      <c r="J558" s="614"/>
      <c r="K558" s="615"/>
      <c r="L558" s="615"/>
      <c r="M558" s="615"/>
      <c r="N558" s="615"/>
      <c r="O558" s="615"/>
      <c r="P558" s="615"/>
      <c r="Q558" s="615"/>
      <c r="R558" s="615"/>
      <c r="S558" s="615"/>
      <c r="T558" s="615"/>
      <c r="U558" s="615"/>
      <c r="V558" s="615"/>
      <c r="W558" s="615"/>
      <c r="X558" s="615"/>
      <c r="Y558" s="615"/>
      <c r="Z558" s="615"/>
      <c r="AA558" s="615"/>
      <c r="AB558" s="615"/>
      <c r="AC558" s="615"/>
      <c r="AD558" s="615"/>
      <c r="AE558" s="615"/>
      <c r="AF558" s="615"/>
      <c r="AG558" s="615"/>
      <c r="AH558" s="615"/>
      <c r="AI558" s="615"/>
      <c r="AJ558" s="615"/>
      <c r="AK558" s="615"/>
      <c r="AL558" s="615"/>
    </row>
    <row r="559" spans="1:38" s="638" customFormat="1" ht="16.5" hidden="1" thickBot="1" x14ac:dyDescent="0.3">
      <c r="A559" s="611" t="s">
        <v>475</v>
      </c>
      <c r="B559" s="623" t="s">
        <v>317</v>
      </c>
      <c r="C559" s="613"/>
      <c r="D559" s="614">
        <f>'Pl 2014-17 PFC'!D517</f>
        <v>16217</v>
      </c>
      <c r="E559" s="614">
        <f>'Pl 2014-17 PFC'!E517</f>
        <v>17814</v>
      </c>
      <c r="F559" s="614">
        <f>'Pl 2014-17 PFC'!F517</f>
        <v>21230</v>
      </c>
      <c r="G559" s="614">
        <f>'Pl 2014-17 PFC'!G517</f>
        <v>23180</v>
      </c>
      <c r="H559" s="614">
        <f>'Pl 2014-17 PFC'!H517</f>
        <v>25620</v>
      </c>
      <c r="I559" s="614"/>
      <c r="J559" s="614"/>
      <c r="K559" s="504"/>
      <c r="L559" s="504"/>
      <c r="M559" s="504"/>
      <c r="N559" s="504"/>
      <c r="O559" s="504"/>
      <c r="P559" s="504"/>
      <c r="Q559" s="504"/>
      <c r="R559" s="504"/>
      <c r="S559" s="504"/>
      <c r="T559" s="504"/>
      <c r="U559" s="504"/>
      <c r="V559" s="504"/>
      <c r="W559" s="504"/>
      <c r="X559" s="504"/>
      <c r="Y559" s="504"/>
      <c r="Z559" s="504"/>
      <c r="AA559" s="504"/>
      <c r="AB559" s="504"/>
      <c r="AC559" s="504"/>
      <c r="AD559" s="504"/>
      <c r="AE559" s="504"/>
      <c r="AF559" s="504"/>
      <c r="AG559" s="504"/>
      <c r="AH559" s="504"/>
      <c r="AI559" s="504"/>
      <c r="AJ559" s="504"/>
      <c r="AK559" s="504"/>
      <c r="AL559" s="504"/>
    </row>
    <row r="560" spans="1:38" s="638" customFormat="1" ht="16.5" hidden="1" thickBot="1" x14ac:dyDescent="0.3">
      <c r="A560" s="611"/>
      <c r="B560" s="623"/>
      <c r="C560" s="613"/>
      <c r="D560" s="614"/>
      <c r="E560" s="614"/>
      <c r="F560" s="614"/>
      <c r="G560" s="614"/>
      <c r="H560" s="614"/>
      <c r="I560" s="614"/>
      <c r="J560" s="614"/>
      <c r="K560" s="504"/>
      <c r="L560" s="504"/>
      <c r="M560" s="504"/>
      <c r="N560" s="504"/>
      <c r="O560" s="504"/>
      <c r="P560" s="504"/>
      <c r="Q560" s="504"/>
      <c r="R560" s="504"/>
      <c r="S560" s="504"/>
      <c r="T560" s="504"/>
      <c r="U560" s="504"/>
      <c r="V560" s="504"/>
      <c r="W560" s="504"/>
      <c r="X560" s="504"/>
      <c r="Y560" s="504"/>
      <c r="Z560" s="504"/>
      <c r="AA560" s="504"/>
      <c r="AB560" s="504"/>
      <c r="AC560" s="504"/>
      <c r="AD560" s="504"/>
      <c r="AE560" s="504"/>
      <c r="AF560" s="504"/>
      <c r="AG560" s="504"/>
      <c r="AH560" s="504"/>
      <c r="AI560" s="504"/>
      <c r="AJ560" s="504"/>
      <c r="AK560" s="504"/>
      <c r="AL560" s="504"/>
    </row>
    <row r="561" spans="1:38" s="638" customFormat="1" ht="16.5" hidden="1" thickBot="1" x14ac:dyDescent="0.3">
      <c r="A561" s="611" t="s">
        <v>37</v>
      </c>
      <c r="B561" s="623" t="s">
        <v>79</v>
      </c>
      <c r="C561" s="624" t="s">
        <v>87</v>
      </c>
      <c r="D561" s="614">
        <f>'Pl 2014-17 PFC'!D519</f>
        <v>1964</v>
      </c>
      <c r="E561" s="614">
        <f>'Pl 2014-17 PFC'!E519</f>
        <v>3283</v>
      </c>
      <c r="F561" s="614">
        <f>'Pl 2014-17 PFC'!F519</f>
        <v>1869</v>
      </c>
      <c r="G561" s="614">
        <f>'Pl 2014-17 PFC'!G519</f>
        <v>350</v>
      </c>
      <c r="H561" s="614">
        <f>'Pl 2014-17 PFC'!H519</f>
        <v>350</v>
      </c>
      <c r="I561" s="614"/>
      <c r="J561" s="614"/>
      <c r="K561" s="504"/>
      <c r="L561" s="504"/>
      <c r="M561" s="504"/>
      <c r="N561" s="504"/>
      <c r="O561" s="504"/>
      <c r="P561" s="504"/>
      <c r="Q561" s="504"/>
      <c r="R561" s="504"/>
      <c r="S561" s="504"/>
      <c r="T561" s="504"/>
      <c r="U561" s="504"/>
      <c r="V561" s="504"/>
      <c r="W561" s="504"/>
      <c r="X561" s="504"/>
      <c r="Y561" s="504"/>
      <c r="Z561" s="504"/>
      <c r="AA561" s="504"/>
      <c r="AB561" s="504"/>
      <c r="AC561" s="504"/>
      <c r="AD561" s="504"/>
      <c r="AE561" s="504"/>
      <c r="AF561" s="504"/>
      <c r="AG561" s="504"/>
      <c r="AH561" s="504"/>
      <c r="AI561" s="504"/>
      <c r="AJ561" s="504"/>
      <c r="AK561" s="504"/>
      <c r="AL561" s="504"/>
    </row>
    <row r="562" spans="1:38" s="506" customFormat="1" ht="16.5" hidden="1" thickBot="1" x14ac:dyDescent="0.3">
      <c r="A562" s="664"/>
      <c r="B562" s="665" t="s">
        <v>318</v>
      </c>
      <c r="C562" s="666"/>
      <c r="D562" s="614"/>
      <c r="E562" s="614"/>
      <c r="F562" s="614"/>
      <c r="G562" s="614"/>
      <c r="H562" s="614"/>
      <c r="I562" s="614"/>
      <c r="J562" s="614"/>
      <c r="K562" s="504"/>
      <c r="L562" s="504"/>
      <c r="M562" s="504"/>
      <c r="N562" s="504"/>
      <c r="O562" s="504"/>
      <c r="P562" s="504"/>
      <c r="Q562" s="504"/>
      <c r="R562" s="504"/>
      <c r="S562" s="504"/>
      <c r="T562" s="504"/>
      <c r="U562" s="504"/>
      <c r="V562" s="504"/>
      <c r="W562" s="504"/>
      <c r="X562" s="504"/>
      <c r="Y562" s="504"/>
      <c r="Z562" s="504"/>
      <c r="AA562" s="504"/>
      <c r="AB562" s="504"/>
      <c r="AC562" s="504"/>
      <c r="AD562" s="504"/>
      <c r="AE562" s="504"/>
      <c r="AF562" s="504"/>
      <c r="AG562" s="504"/>
      <c r="AH562" s="504"/>
      <c r="AI562" s="504"/>
      <c r="AJ562" s="504"/>
      <c r="AK562" s="505"/>
      <c r="AL562" s="505"/>
    </row>
    <row r="563" spans="1:38" s="506" customFormat="1" ht="16.5" hidden="1" thickBot="1" x14ac:dyDescent="0.3">
      <c r="A563" s="664"/>
      <c r="B563" s="665" t="s">
        <v>319</v>
      </c>
      <c r="C563" s="639" t="s">
        <v>141</v>
      </c>
      <c r="D563" s="614">
        <f>'Pl 2014-17 PFC'!D521</f>
        <v>534</v>
      </c>
      <c r="E563" s="614">
        <f>'Pl 2014-17 PFC'!E521</f>
        <v>350</v>
      </c>
      <c r="F563" s="614">
        <f>'Pl 2014-17 PFC'!F521</f>
        <v>350</v>
      </c>
      <c r="G563" s="614">
        <f>'Pl 2014-17 PFC'!G521</f>
        <v>350</v>
      </c>
      <c r="H563" s="614">
        <f>'Pl 2014-17 PFC'!H521</f>
        <v>350</v>
      </c>
      <c r="I563" s="614"/>
      <c r="J563" s="614"/>
      <c r="K563" s="504"/>
      <c r="L563" s="504"/>
      <c r="M563" s="504"/>
      <c r="N563" s="504"/>
      <c r="O563" s="504"/>
      <c r="P563" s="504"/>
      <c r="Q563" s="504"/>
      <c r="R563" s="504"/>
      <c r="S563" s="504"/>
      <c r="T563" s="504"/>
      <c r="U563" s="504"/>
      <c r="V563" s="504"/>
      <c r="W563" s="504"/>
      <c r="X563" s="504"/>
      <c r="Y563" s="504"/>
      <c r="Z563" s="504"/>
      <c r="AA563" s="504"/>
      <c r="AB563" s="504"/>
      <c r="AC563" s="504"/>
      <c r="AD563" s="504"/>
      <c r="AE563" s="504"/>
      <c r="AF563" s="504"/>
      <c r="AG563" s="504"/>
      <c r="AH563" s="504"/>
      <c r="AI563" s="504"/>
      <c r="AJ563" s="504"/>
      <c r="AK563" s="505"/>
      <c r="AL563" s="505"/>
    </row>
    <row r="564" spans="1:38" s="506" customFormat="1" ht="16.5" hidden="1" thickBot="1" x14ac:dyDescent="0.3">
      <c r="A564" s="664"/>
      <c r="B564" s="665" t="s">
        <v>321</v>
      </c>
      <c r="C564" s="639" t="s">
        <v>322</v>
      </c>
      <c r="D564" s="614">
        <f>'Pl 2014-17 PFC'!D522</f>
        <v>1430</v>
      </c>
      <c r="E564" s="614">
        <f>'Pl 2014-17 PFC'!E522</f>
        <v>2933</v>
      </c>
      <c r="F564" s="614">
        <f>'Pl 2014-17 PFC'!F522</f>
        <v>1519</v>
      </c>
      <c r="G564" s="614">
        <f>'Pl 2014-17 PFC'!G522</f>
        <v>0</v>
      </c>
      <c r="H564" s="614">
        <f>'Pl 2014-17 PFC'!H522</f>
        <v>0</v>
      </c>
      <c r="I564" s="614"/>
      <c r="J564" s="614"/>
      <c r="K564" s="504"/>
      <c r="L564" s="504"/>
      <c r="M564" s="504"/>
      <c r="N564" s="504"/>
      <c r="O564" s="504"/>
      <c r="P564" s="504"/>
      <c r="Q564" s="504"/>
      <c r="R564" s="504"/>
      <c r="S564" s="504"/>
      <c r="T564" s="504"/>
      <c r="U564" s="504"/>
      <c r="V564" s="504"/>
      <c r="W564" s="504"/>
      <c r="X564" s="504"/>
      <c r="Y564" s="504"/>
      <c r="Z564" s="504"/>
      <c r="AA564" s="504"/>
      <c r="AB564" s="504"/>
      <c r="AC564" s="504"/>
      <c r="AD564" s="504"/>
      <c r="AE564" s="504"/>
      <c r="AF564" s="504"/>
      <c r="AG564" s="504"/>
      <c r="AH564" s="504"/>
      <c r="AI564" s="504"/>
      <c r="AJ564" s="504"/>
      <c r="AK564" s="505"/>
      <c r="AL564" s="505"/>
    </row>
    <row r="565" spans="1:38" s="506" customFormat="1" ht="16.5" hidden="1" thickBot="1" x14ac:dyDescent="0.3">
      <c r="A565" s="667"/>
      <c r="B565" s="668"/>
      <c r="C565" s="669"/>
      <c r="D565" s="670"/>
      <c r="E565" s="670"/>
      <c r="F565" s="670"/>
      <c r="G565" s="670"/>
      <c r="H565" s="670"/>
      <c r="I565" s="670"/>
      <c r="J565" s="670"/>
      <c r="K565" s="504"/>
      <c r="L565" s="504"/>
      <c r="M565" s="504"/>
      <c r="N565" s="504"/>
      <c r="O565" s="504"/>
      <c r="P565" s="504"/>
      <c r="Q565" s="504"/>
      <c r="R565" s="504"/>
      <c r="S565" s="504"/>
      <c r="T565" s="504"/>
      <c r="U565" s="504"/>
      <c r="V565" s="504"/>
      <c r="W565" s="504"/>
      <c r="X565" s="504"/>
      <c r="Y565" s="504"/>
      <c r="Z565" s="504"/>
      <c r="AA565" s="504"/>
      <c r="AB565" s="504"/>
      <c r="AC565" s="504"/>
      <c r="AD565" s="504"/>
      <c r="AE565" s="504"/>
      <c r="AF565" s="504"/>
      <c r="AG565" s="504"/>
      <c r="AH565" s="504"/>
      <c r="AI565" s="504"/>
      <c r="AJ565" s="504"/>
      <c r="AK565" s="505"/>
      <c r="AL565" s="505"/>
    </row>
    <row r="566" spans="1:38" s="537" customFormat="1" ht="19.5" hidden="1" thickBot="1" x14ac:dyDescent="0.35">
      <c r="A566" s="311" t="s">
        <v>520</v>
      </c>
      <c r="B566" s="588"/>
      <c r="C566" s="588"/>
      <c r="D566" s="671"/>
      <c r="E566" s="671"/>
      <c r="F566" s="671"/>
      <c r="G566" s="671"/>
      <c r="H566" s="671"/>
      <c r="I566" s="671"/>
      <c r="J566" s="671"/>
      <c r="K566" s="450"/>
      <c r="L566" s="450"/>
      <c r="M566" s="450"/>
      <c r="N566" s="450"/>
      <c r="O566" s="450"/>
      <c r="P566" s="450"/>
      <c r="Q566" s="450"/>
      <c r="R566" s="450"/>
      <c r="S566" s="450"/>
      <c r="T566" s="450"/>
      <c r="U566" s="450"/>
      <c r="V566" s="450"/>
      <c r="W566" s="450"/>
      <c r="X566" s="450"/>
      <c r="Y566" s="450"/>
      <c r="Z566" s="450"/>
      <c r="AA566" s="450"/>
      <c r="AB566" s="450"/>
      <c r="AC566" s="450"/>
      <c r="AD566" s="450"/>
      <c r="AE566" s="450"/>
      <c r="AF566" s="450"/>
      <c r="AG566" s="450"/>
      <c r="AH566" s="450"/>
      <c r="AI566" s="450"/>
      <c r="AJ566" s="450"/>
      <c r="AK566" s="536"/>
      <c r="AL566" s="536"/>
    </row>
    <row r="567" spans="1:38" s="537" customFormat="1" ht="105.75" hidden="1" customHeight="1" x14ac:dyDescent="0.25">
      <c r="A567" s="1124" t="s">
        <v>7</v>
      </c>
      <c r="B567" s="1128" t="s">
        <v>521</v>
      </c>
      <c r="C567" s="1128"/>
      <c r="D567" s="591" t="str">
        <f>D66</f>
        <v>Przewidywane 
wykonanie 
w 2013 r.</v>
      </c>
      <c r="E567" s="591" t="str">
        <f>E66</f>
        <v>Plan wg. Ustawy Budżetowej zmieniony
za zgodą MF z dnia 
30  kwietnia 2014 r. oraz 
opinią KFP 
z dnia 7 maja 2014 r.</v>
      </c>
      <c r="F567" s="591" t="str">
        <f>F66</f>
        <v>Projekt planu 
na 2015 r.</v>
      </c>
      <c r="G567" s="591" t="str">
        <f>G66</f>
        <v>Projekt planu 
na 2016 r.</v>
      </c>
      <c r="H567" s="591" t="str">
        <f>H66</f>
        <v>Projekt planu 
na 2017 r.</v>
      </c>
      <c r="I567" s="591"/>
      <c r="J567" s="591"/>
      <c r="K567" s="450"/>
      <c r="L567" s="450"/>
      <c r="M567" s="450"/>
      <c r="N567" s="450"/>
      <c r="O567" s="450"/>
      <c r="P567" s="450"/>
      <c r="Q567" s="450"/>
      <c r="R567" s="450"/>
      <c r="S567" s="450"/>
      <c r="T567" s="450"/>
      <c r="U567" s="450"/>
      <c r="V567" s="450"/>
      <c r="W567" s="450"/>
      <c r="X567" s="450"/>
      <c r="Y567" s="450"/>
      <c r="Z567" s="450"/>
      <c r="AA567" s="450"/>
      <c r="AB567" s="450"/>
      <c r="AC567" s="450"/>
      <c r="AD567" s="450"/>
      <c r="AE567" s="450"/>
      <c r="AF567" s="450"/>
      <c r="AG567" s="450"/>
      <c r="AH567" s="450"/>
      <c r="AI567" s="450"/>
      <c r="AJ567" s="450"/>
      <c r="AK567" s="536"/>
      <c r="AL567" s="536"/>
    </row>
    <row r="568" spans="1:38" s="537" customFormat="1" ht="16.5" hidden="1" customHeight="1" x14ac:dyDescent="0.25">
      <c r="A568" s="1124"/>
      <c r="B568" s="1128"/>
      <c r="C568" s="1128"/>
      <c r="D568" s="1114" t="str">
        <f>D327</f>
        <v>w tysiącach złotych</v>
      </c>
      <c r="E568" s="1114"/>
      <c r="F568" s="1114"/>
      <c r="G568" s="1114"/>
      <c r="H568" s="1114"/>
      <c r="I568" s="450"/>
      <c r="J568" s="450"/>
      <c r="K568" s="450"/>
      <c r="L568" s="450"/>
      <c r="M568" s="450"/>
      <c r="N568" s="450"/>
      <c r="O568" s="450"/>
      <c r="P568" s="450"/>
      <c r="Q568" s="450"/>
      <c r="R568" s="450"/>
      <c r="S568" s="450"/>
      <c r="T568" s="450"/>
      <c r="U568" s="450"/>
      <c r="V568" s="450"/>
      <c r="W568" s="450"/>
      <c r="X568" s="450"/>
      <c r="Y568" s="450"/>
      <c r="Z568" s="450"/>
      <c r="AA568" s="450"/>
      <c r="AB568" s="450"/>
      <c r="AC568" s="450"/>
      <c r="AD568" s="450"/>
      <c r="AE568" s="450"/>
      <c r="AF568" s="450"/>
      <c r="AG568" s="450"/>
      <c r="AH568" s="450"/>
      <c r="AI568" s="450"/>
      <c r="AJ568" s="450"/>
      <c r="AK568" s="536"/>
      <c r="AL568" s="536"/>
    </row>
    <row r="569" spans="1:38" s="537" customFormat="1" ht="12.75" hidden="1" customHeight="1" x14ac:dyDescent="0.25">
      <c r="A569" s="592">
        <v>1</v>
      </c>
      <c r="B569" s="593">
        <v>2</v>
      </c>
      <c r="C569" s="594"/>
      <c r="D569" s="595">
        <v>3</v>
      </c>
      <c r="E569" s="596">
        <v>4</v>
      </c>
      <c r="F569" s="596">
        <v>5</v>
      </c>
      <c r="G569" s="596">
        <v>6</v>
      </c>
      <c r="H569" s="596">
        <v>7</v>
      </c>
      <c r="I569" s="596"/>
      <c r="J569" s="596"/>
      <c r="K569" s="450"/>
      <c r="L569" s="450"/>
      <c r="M569" s="450"/>
      <c r="N569" s="450"/>
      <c r="O569" s="450"/>
      <c r="P569" s="450"/>
      <c r="Q569" s="450"/>
      <c r="R569" s="450"/>
      <c r="S569" s="450"/>
      <c r="T569" s="450"/>
      <c r="U569" s="450"/>
      <c r="V569" s="450"/>
      <c r="W569" s="450"/>
      <c r="X569" s="450"/>
      <c r="Y569" s="450"/>
      <c r="Z569" s="450"/>
      <c r="AA569" s="450"/>
      <c r="AB569" s="450"/>
      <c r="AC569" s="450"/>
      <c r="AD569" s="450"/>
      <c r="AE569" s="450"/>
      <c r="AF569" s="450"/>
      <c r="AG569" s="450"/>
      <c r="AH569" s="450"/>
      <c r="AI569" s="450"/>
      <c r="AJ569" s="450"/>
      <c r="AK569" s="536"/>
      <c r="AL569" s="536"/>
    </row>
    <row r="570" spans="1:38" s="483" customFormat="1" ht="12.75" hidden="1" customHeight="1" x14ac:dyDescent="0.25">
      <c r="A570" s="672"/>
      <c r="B570" s="1129" t="s">
        <v>522</v>
      </c>
      <c r="C570" s="1129"/>
      <c r="D570" s="672"/>
      <c r="E570" s="672"/>
      <c r="F570" s="672"/>
      <c r="G570" s="672"/>
      <c r="H570" s="672"/>
      <c r="I570" s="672"/>
      <c r="J570" s="672"/>
      <c r="K570" s="481"/>
      <c r="L570" s="481"/>
      <c r="M570" s="481"/>
      <c r="N570" s="481"/>
      <c r="O570" s="481"/>
      <c r="P570" s="481"/>
      <c r="Q570" s="481"/>
      <c r="R570" s="481"/>
      <c r="S570" s="481"/>
      <c r="T570" s="481"/>
      <c r="U570" s="481"/>
      <c r="V570" s="481"/>
      <c r="W570" s="481"/>
      <c r="X570" s="481"/>
      <c r="Y570" s="481"/>
      <c r="Z570" s="481"/>
      <c r="AA570" s="481"/>
      <c r="AB570" s="481"/>
      <c r="AC570" s="481"/>
      <c r="AD570" s="481"/>
      <c r="AE570" s="481"/>
      <c r="AF570" s="481"/>
      <c r="AG570" s="481"/>
      <c r="AH570" s="481"/>
      <c r="AI570" s="481"/>
      <c r="AJ570" s="481"/>
      <c r="AK570" s="481"/>
      <c r="AL570" s="481"/>
    </row>
    <row r="571" spans="1:38" s="483" customFormat="1" ht="16.5" hidden="1" thickBot="1" x14ac:dyDescent="0.3">
      <c r="A571" s="673" t="s">
        <v>19</v>
      </c>
      <c r="B571" s="1129"/>
      <c r="C571" s="1129"/>
      <c r="D571" s="673"/>
      <c r="E571" s="673"/>
      <c r="F571" s="673"/>
      <c r="G571" s="673"/>
      <c r="H571" s="673"/>
      <c r="I571" s="673"/>
      <c r="J571" s="673"/>
      <c r="K571" s="481"/>
      <c r="L571" s="481"/>
      <c r="M571" s="481"/>
      <c r="N571" s="481"/>
      <c r="O571" s="481"/>
      <c r="P571" s="481"/>
      <c r="Q571" s="481"/>
      <c r="R571" s="481"/>
      <c r="S571" s="481"/>
      <c r="T571" s="481"/>
      <c r="U571" s="481"/>
      <c r="V571" s="481"/>
      <c r="W571" s="481"/>
      <c r="X571" s="481"/>
      <c r="Y571" s="481"/>
      <c r="Z571" s="481"/>
      <c r="AA571" s="481"/>
      <c r="AB571" s="481"/>
      <c r="AC571" s="481"/>
      <c r="AD571" s="481"/>
      <c r="AE571" s="481"/>
      <c r="AF571" s="481"/>
      <c r="AG571" s="481"/>
      <c r="AH571" s="481"/>
      <c r="AI571" s="481"/>
      <c r="AJ571" s="481"/>
      <c r="AK571" s="481"/>
      <c r="AL571" s="481"/>
    </row>
    <row r="572" spans="1:38" s="678" customFormat="1" ht="16.5" hidden="1" thickBot="1" x14ac:dyDescent="0.3">
      <c r="A572" s="520" t="s">
        <v>21</v>
      </c>
      <c r="B572" s="674" t="s">
        <v>523</v>
      </c>
      <c r="C572" s="675"/>
      <c r="D572" s="676"/>
      <c r="E572" s="677"/>
      <c r="F572" s="677"/>
      <c r="G572" s="677"/>
      <c r="H572" s="677"/>
      <c r="I572" s="677"/>
      <c r="J572" s="677"/>
      <c r="K572" s="546"/>
      <c r="L572" s="546"/>
      <c r="M572" s="546"/>
      <c r="N572" s="546"/>
      <c r="O572" s="546"/>
      <c r="P572" s="546"/>
      <c r="Q572" s="546"/>
      <c r="R572" s="546"/>
      <c r="S572" s="546"/>
      <c r="T572" s="546"/>
      <c r="U572" s="546"/>
      <c r="V572" s="546"/>
      <c r="W572" s="546"/>
      <c r="X572" s="546"/>
      <c r="Y572" s="546"/>
      <c r="Z572" s="546"/>
      <c r="AA572" s="546"/>
      <c r="AB572" s="546"/>
      <c r="AC572" s="546"/>
      <c r="AD572" s="546"/>
      <c r="AE572" s="546"/>
      <c r="AF572" s="546"/>
      <c r="AG572" s="546"/>
      <c r="AH572" s="546"/>
      <c r="AI572" s="546"/>
      <c r="AJ572" s="546"/>
    </row>
    <row r="573" spans="1:38" s="678" customFormat="1" ht="16.5" hidden="1" thickBot="1" x14ac:dyDescent="0.3">
      <c r="A573" s="520" t="s">
        <v>22</v>
      </c>
      <c r="B573" s="679" t="s">
        <v>524</v>
      </c>
      <c r="C573" s="541"/>
      <c r="D573" s="676"/>
      <c r="E573" s="677"/>
      <c r="F573" s="677"/>
      <c r="G573" s="677"/>
      <c r="H573" s="677"/>
      <c r="I573" s="677"/>
      <c r="J573" s="677"/>
      <c r="K573" s="546"/>
      <c r="L573" s="546"/>
      <c r="M573" s="546"/>
      <c r="N573" s="546"/>
      <c r="O573" s="546"/>
      <c r="P573" s="546"/>
      <c r="Q573" s="546"/>
      <c r="R573" s="546"/>
      <c r="S573" s="546"/>
      <c r="T573" s="546"/>
      <c r="U573" s="546"/>
      <c r="V573" s="546"/>
      <c r="W573" s="546"/>
      <c r="X573" s="546"/>
      <c r="Y573" s="546"/>
      <c r="Z573" s="546"/>
      <c r="AA573" s="546"/>
      <c r="AB573" s="546"/>
      <c r="AC573" s="546"/>
      <c r="AD573" s="546"/>
      <c r="AE573" s="546"/>
      <c r="AF573" s="546"/>
      <c r="AG573" s="546"/>
      <c r="AH573" s="546"/>
      <c r="AI573" s="546"/>
      <c r="AJ573" s="546"/>
    </row>
    <row r="574" spans="1:38" s="678" customFormat="1" ht="16.5" hidden="1" thickBot="1" x14ac:dyDescent="0.3">
      <c r="A574" s="520"/>
      <c r="B574" s="679" t="s">
        <v>525</v>
      </c>
      <c r="C574" s="541"/>
      <c r="D574" s="676"/>
      <c r="E574" s="677"/>
      <c r="F574" s="677"/>
      <c r="G574" s="677"/>
      <c r="H574" s="677"/>
      <c r="I574" s="677"/>
      <c r="J574" s="677"/>
      <c r="K574" s="546"/>
      <c r="L574" s="546"/>
      <c r="M574" s="546"/>
      <c r="N574" s="546"/>
      <c r="O574" s="546"/>
      <c r="P574" s="546"/>
      <c r="Q574" s="546"/>
      <c r="R574" s="546"/>
      <c r="S574" s="546"/>
      <c r="T574" s="546"/>
      <c r="U574" s="546"/>
      <c r="V574" s="546"/>
      <c r="W574" s="546"/>
      <c r="X574" s="546"/>
      <c r="Y574" s="546"/>
      <c r="Z574" s="546"/>
      <c r="AA574" s="546"/>
      <c r="AB574" s="546"/>
      <c r="AC574" s="546"/>
      <c r="AD574" s="546"/>
      <c r="AE574" s="546"/>
      <c r="AF574" s="546"/>
      <c r="AG574" s="546"/>
      <c r="AH574" s="546"/>
      <c r="AI574" s="546"/>
      <c r="AJ574" s="546"/>
    </row>
    <row r="575" spans="1:38" s="678" customFormat="1" ht="16.5" hidden="1" thickBot="1" x14ac:dyDescent="0.3">
      <c r="A575" s="520"/>
      <c r="B575" s="679" t="s">
        <v>526</v>
      </c>
      <c r="C575" s="541"/>
      <c r="D575" s="676"/>
      <c r="E575" s="677"/>
      <c r="F575" s="677"/>
      <c r="G575" s="677"/>
      <c r="H575" s="677"/>
      <c r="I575" s="677"/>
      <c r="J575" s="677"/>
      <c r="K575" s="546"/>
      <c r="L575" s="546"/>
      <c r="M575" s="546"/>
      <c r="N575" s="546"/>
      <c r="O575" s="546"/>
      <c r="P575" s="546"/>
      <c r="Q575" s="546"/>
      <c r="R575" s="546"/>
      <c r="S575" s="546"/>
      <c r="T575" s="546"/>
      <c r="U575" s="546"/>
      <c r="V575" s="546"/>
      <c r="W575" s="546"/>
      <c r="X575" s="546"/>
      <c r="Y575" s="546"/>
      <c r="Z575" s="546"/>
      <c r="AA575" s="546"/>
      <c r="AB575" s="546"/>
      <c r="AC575" s="546"/>
      <c r="AD575" s="546"/>
      <c r="AE575" s="546"/>
      <c r="AF575" s="546"/>
      <c r="AG575" s="546"/>
      <c r="AH575" s="546"/>
      <c r="AI575" s="546"/>
      <c r="AJ575" s="546"/>
    </row>
    <row r="576" spans="1:38" s="678" customFormat="1" ht="16.5" hidden="1" thickBot="1" x14ac:dyDescent="0.3">
      <c r="A576" s="520" t="s">
        <v>331</v>
      </c>
      <c r="B576" s="679" t="s">
        <v>527</v>
      </c>
      <c r="C576" s="541"/>
      <c r="D576" s="676"/>
      <c r="E576" s="677"/>
      <c r="F576" s="677"/>
      <c r="G576" s="677"/>
      <c r="H576" s="677"/>
      <c r="I576" s="677"/>
      <c r="J576" s="677"/>
      <c r="K576" s="546"/>
      <c r="L576" s="546"/>
      <c r="M576" s="546"/>
      <c r="N576" s="546"/>
      <c r="O576" s="546"/>
      <c r="P576" s="546"/>
      <c r="Q576" s="546"/>
      <c r="R576" s="546"/>
      <c r="S576" s="546"/>
      <c r="T576" s="546"/>
      <c r="U576" s="546"/>
      <c r="V576" s="546"/>
      <c r="W576" s="546"/>
      <c r="X576" s="546"/>
      <c r="Y576" s="546"/>
      <c r="Z576" s="546"/>
      <c r="AA576" s="546"/>
      <c r="AB576" s="546"/>
      <c r="AC576" s="546"/>
      <c r="AD576" s="546"/>
      <c r="AE576" s="546"/>
      <c r="AF576" s="546"/>
      <c r="AG576" s="546"/>
      <c r="AH576" s="546"/>
      <c r="AI576" s="546"/>
      <c r="AJ576" s="546"/>
    </row>
    <row r="577" spans="1:88" s="678" customFormat="1" ht="16.5" hidden="1" thickBot="1" x14ac:dyDescent="0.3">
      <c r="A577" s="680" t="s">
        <v>342</v>
      </c>
      <c r="B577" s="681" t="s">
        <v>528</v>
      </c>
      <c r="C577" s="682"/>
      <c r="D577" s="683"/>
      <c r="E577" s="684"/>
      <c r="F577" s="684"/>
      <c r="G577" s="684"/>
      <c r="H577" s="684"/>
      <c r="I577" s="684"/>
      <c r="J577" s="684"/>
      <c r="K577" s="546"/>
      <c r="L577" s="546"/>
      <c r="M577" s="546"/>
      <c r="N577" s="546"/>
      <c r="O577" s="546"/>
      <c r="P577" s="546"/>
      <c r="Q577" s="546"/>
      <c r="R577" s="546"/>
      <c r="S577" s="546"/>
      <c r="T577" s="546"/>
      <c r="U577" s="546"/>
      <c r="V577" s="546"/>
      <c r="W577" s="546"/>
      <c r="X577" s="546"/>
      <c r="Y577" s="546"/>
      <c r="Z577" s="546"/>
      <c r="AA577" s="546"/>
      <c r="AB577" s="546"/>
      <c r="AC577" s="546"/>
      <c r="AD577" s="546"/>
      <c r="AE577" s="546"/>
      <c r="AF577" s="546"/>
      <c r="AG577" s="546"/>
      <c r="AH577" s="546"/>
      <c r="AI577" s="546"/>
      <c r="AJ577" s="546"/>
    </row>
    <row r="578" spans="1:88" s="690" customFormat="1" ht="16.5" hidden="1" thickBot="1" x14ac:dyDescent="0.3">
      <c r="A578" s="685"/>
      <c r="B578" s="686"/>
      <c r="C578" s="687"/>
      <c r="D578" s="688"/>
      <c r="E578" s="688"/>
      <c r="F578" s="688"/>
      <c r="G578" s="688"/>
      <c r="H578" s="689"/>
      <c r="I578" s="688"/>
      <c r="J578" s="688"/>
      <c r="K578" s="450"/>
      <c r="L578" s="450"/>
      <c r="M578" s="450"/>
      <c r="N578" s="450"/>
      <c r="O578" s="450"/>
      <c r="P578" s="450"/>
      <c r="Q578" s="450"/>
      <c r="R578" s="450"/>
      <c r="S578" s="450"/>
      <c r="T578" s="450"/>
      <c r="U578" s="450"/>
      <c r="V578" s="450"/>
      <c r="W578" s="450"/>
      <c r="X578" s="450"/>
      <c r="Y578" s="450"/>
      <c r="Z578" s="450"/>
      <c r="AA578" s="450"/>
      <c r="AB578" s="450"/>
      <c r="AC578" s="450"/>
      <c r="AD578" s="450"/>
      <c r="AE578" s="450"/>
      <c r="AF578" s="450"/>
      <c r="AG578" s="450"/>
      <c r="AH578" s="450"/>
      <c r="AI578" s="450"/>
      <c r="AJ578" s="450"/>
      <c r="AK578" s="536"/>
      <c r="AL578" s="536"/>
    </row>
    <row r="579" spans="1:88" s="537" customFormat="1" ht="19.5" thickBot="1" x14ac:dyDescent="0.35">
      <c r="A579" s="691" t="s">
        <v>529</v>
      </c>
      <c r="B579" s="588"/>
      <c r="C579" s="588"/>
      <c r="D579" s="588"/>
      <c r="E579" s="588"/>
      <c r="F579" s="588"/>
      <c r="G579" s="588"/>
      <c r="H579" s="588"/>
      <c r="I579" s="588"/>
      <c r="J579" s="588"/>
      <c r="K579" s="450"/>
      <c r="L579" s="450"/>
      <c r="M579" s="450"/>
      <c r="N579" s="450"/>
      <c r="O579" s="450"/>
      <c r="P579" s="450"/>
      <c r="Q579" s="450"/>
      <c r="R579" s="450"/>
      <c r="S579" s="450"/>
      <c r="T579" s="450"/>
      <c r="U579" s="450"/>
      <c r="V579" s="450"/>
      <c r="W579" s="450"/>
      <c r="X579" s="450"/>
      <c r="Y579" s="450"/>
      <c r="Z579" s="450"/>
      <c r="AA579" s="450"/>
      <c r="AB579" s="450"/>
      <c r="AC579" s="450"/>
      <c r="AD579" s="450"/>
      <c r="AE579" s="450"/>
      <c r="AF579" s="450"/>
      <c r="AG579" s="450"/>
      <c r="AH579" s="450"/>
      <c r="AI579" s="450"/>
      <c r="AJ579" s="450"/>
      <c r="AK579" s="536"/>
      <c r="AL579" s="536"/>
    </row>
    <row r="580" spans="1:88" s="537" customFormat="1" ht="108.75" customHeight="1" thickBot="1" x14ac:dyDescent="0.3">
      <c r="A580" s="1124" t="s">
        <v>7</v>
      </c>
      <c r="B580" s="1128" t="s">
        <v>521</v>
      </c>
      <c r="C580" s="1128"/>
      <c r="D580" s="591" t="str">
        <f>D567</f>
        <v>Przewidywane 
wykonanie 
w 2013 r.</v>
      </c>
      <c r="E580" s="591" t="str">
        <f>E567</f>
        <v>Plan wg. Ustawy Budżetowej zmieniony
za zgodą MF z dnia 
30  kwietnia 2014 r. oraz 
opinią KFP 
z dnia 7 maja 2014 r.</v>
      </c>
      <c r="F580" s="591" t="str">
        <f>F567</f>
        <v>Projekt planu 
na 2015 r.</v>
      </c>
      <c r="G580" s="591" t="str">
        <f>G567</f>
        <v>Projekt planu 
na 2016 r.</v>
      </c>
      <c r="H580" s="591" t="str">
        <f>H567</f>
        <v>Projekt planu 
na 2017 r.</v>
      </c>
      <c r="I580" s="591" t="str">
        <f>I66</f>
        <v>Wniosek o przeniesienie</v>
      </c>
      <c r="J580" s="591" t="str">
        <f>J66</f>
        <v>Plan po zmianach</v>
      </c>
      <c r="K580" s="450"/>
      <c r="L580" s="450"/>
      <c r="M580" s="450"/>
      <c r="N580" s="450"/>
      <c r="O580" s="450"/>
      <c r="P580" s="450"/>
      <c r="Q580" s="450"/>
      <c r="R580" s="450"/>
      <c r="S580" s="450"/>
      <c r="T580" s="450"/>
      <c r="U580" s="450"/>
      <c r="V580" s="450"/>
      <c r="W580" s="450"/>
      <c r="X580" s="450"/>
      <c r="Y580" s="450"/>
      <c r="Z580" s="450"/>
      <c r="AA580" s="450"/>
      <c r="AB580" s="450"/>
      <c r="AC580" s="450"/>
      <c r="AD580" s="450"/>
      <c r="AE580" s="450"/>
      <c r="AF580" s="450"/>
      <c r="AG580" s="450"/>
      <c r="AH580" s="450"/>
      <c r="AI580" s="450"/>
      <c r="AJ580" s="450"/>
      <c r="AK580" s="536"/>
      <c r="AL580" s="536"/>
    </row>
    <row r="581" spans="1:88" s="537" customFormat="1" ht="16.5" customHeight="1" thickBot="1" x14ac:dyDescent="0.3">
      <c r="A581" s="1124"/>
      <c r="B581" s="1128"/>
      <c r="C581" s="1128"/>
      <c r="E581" s="1115" t="str">
        <f>D568</f>
        <v>w tysiącach złotych</v>
      </c>
      <c r="F581" s="1116"/>
      <c r="G581" s="1116"/>
      <c r="H581" s="1116"/>
      <c r="I581" s="1116"/>
      <c r="J581" s="1117"/>
      <c r="K581" s="450"/>
      <c r="L581" s="450"/>
      <c r="M581" s="450"/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  <c r="Y581" s="450"/>
      <c r="Z581" s="450"/>
      <c r="AA581" s="450"/>
      <c r="AB581" s="450"/>
      <c r="AC581" s="450"/>
      <c r="AD581" s="450"/>
      <c r="AE581" s="450"/>
      <c r="AF581" s="450"/>
      <c r="AG581" s="450"/>
      <c r="AH581" s="450"/>
      <c r="AI581" s="450"/>
      <c r="AJ581" s="450"/>
      <c r="AK581" s="536"/>
      <c r="AL581" s="536"/>
      <c r="AM581" s="536"/>
      <c r="AN581" s="536"/>
      <c r="AO581" s="536"/>
      <c r="AP581" s="536"/>
      <c r="AQ581" s="536"/>
      <c r="AR581" s="536"/>
      <c r="AS581" s="536"/>
      <c r="AT581" s="536"/>
      <c r="AU581" s="536"/>
      <c r="AV581" s="536"/>
      <c r="AW581" s="536"/>
      <c r="AX581" s="536"/>
      <c r="AY581" s="536"/>
      <c r="AZ581" s="536"/>
      <c r="BA581" s="536"/>
      <c r="BB581" s="536"/>
      <c r="BC581" s="536"/>
      <c r="BD581" s="536"/>
      <c r="BE581" s="536"/>
      <c r="BF581" s="536"/>
      <c r="BG581" s="536"/>
      <c r="BH581" s="536"/>
      <c r="BI581" s="536"/>
      <c r="BJ581" s="536"/>
      <c r="BK581" s="536"/>
      <c r="BL581" s="536"/>
      <c r="BM581" s="536"/>
      <c r="BN581" s="536"/>
      <c r="BO581" s="536"/>
      <c r="BP581" s="536"/>
      <c r="BQ581" s="536"/>
      <c r="BR581" s="536"/>
      <c r="BS581" s="536"/>
      <c r="BT581" s="536"/>
      <c r="BU581" s="536"/>
      <c r="BV581" s="536"/>
      <c r="BW581" s="536"/>
      <c r="BX581" s="536"/>
      <c r="BY581" s="536"/>
      <c r="BZ581" s="536"/>
      <c r="CA581" s="536"/>
      <c r="CB581" s="536"/>
      <c r="CC581" s="536"/>
      <c r="CD581" s="536"/>
      <c r="CE581" s="536"/>
      <c r="CF581" s="536"/>
      <c r="CG581" s="536"/>
      <c r="CH581" s="536"/>
      <c r="CI581" s="536"/>
      <c r="CJ581" s="536"/>
    </row>
    <row r="582" spans="1:88" s="537" customFormat="1" ht="16.5" thickBot="1" x14ac:dyDescent="0.3">
      <c r="A582" s="1063">
        <v>1</v>
      </c>
      <c r="B582" s="593">
        <v>2</v>
      </c>
      <c r="C582" s="594"/>
      <c r="D582" s="595">
        <v>3</v>
      </c>
      <c r="E582" s="596">
        <v>3</v>
      </c>
      <c r="F582" s="596">
        <v>5</v>
      </c>
      <c r="G582" s="596">
        <v>6</v>
      </c>
      <c r="H582" s="596">
        <v>7</v>
      </c>
      <c r="I582" s="596">
        <v>4</v>
      </c>
      <c r="J582" s="596">
        <v>5</v>
      </c>
      <c r="K582" s="450"/>
      <c r="L582" s="450"/>
      <c r="M582" s="450"/>
      <c r="N582" s="450"/>
      <c r="O582" s="450"/>
      <c r="P582" s="450"/>
      <c r="Q582" s="450"/>
      <c r="R582" s="450"/>
      <c r="S582" s="450"/>
      <c r="T582" s="450"/>
      <c r="U582" s="450"/>
      <c r="V582" s="450"/>
      <c r="W582" s="450"/>
      <c r="X582" s="450"/>
      <c r="Y582" s="450"/>
      <c r="Z582" s="450"/>
      <c r="AA582" s="450"/>
      <c r="AB582" s="450"/>
      <c r="AC582" s="450"/>
      <c r="AD582" s="450"/>
      <c r="AE582" s="450"/>
      <c r="AF582" s="450"/>
      <c r="AG582" s="450"/>
      <c r="AH582" s="450"/>
      <c r="AI582" s="450"/>
      <c r="AJ582" s="450"/>
      <c r="AK582" s="536"/>
      <c r="AL582" s="536"/>
      <c r="AM582" s="536"/>
      <c r="AN582" s="536"/>
      <c r="AO582" s="536"/>
      <c r="AP582" s="536"/>
      <c r="AQ582" s="536"/>
      <c r="AR582" s="536"/>
      <c r="AS582" s="536"/>
      <c r="AT582" s="536"/>
      <c r="AU582" s="536"/>
      <c r="AV582" s="536"/>
      <c r="AW582" s="536"/>
      <c r="AX582" s="536"/>
      <c r="AY582" s="536"/>
      <c r="AZ582" s="536"/>
      <c r="BA582" s="536"/>
      <c r="BB582" s="536"/>
      <c r="BC582" s="536"/>
      <c r="BD582" s="536"/>
      <c r="BE582" s="536"/>
      <c r="BF582" s="536"/>
      <c r="BG582" s="536"/>
      <c r="BH582" s="536"/>
      <c r="BI582" s="536"/>
      <c r="BJ582" s="536"/>
      <c r="BK582" s="536"/>
      <c r="BL582" s="536"/>
      <c r="BM582" s="536"/>
      <c r="BN582" s="536"/>
      <c r="BO582" s="536"/>
      <c r="BP582" s="536"/>
      <c r="BQ582" s="536"/>
      <c r="BR582" s="536"/>
      <c r="BS582" s="536"/>
      <c r="BT582" s="536"/>
      <c r="BU582" s="536"/>
      <c r="BV582" s="536"/>
      <c r="BW582" s="536"/>
      <c r="BX582" s="536"/>
      <c r="BY582" s="536"/>
      <c r="BZ582" s="536"/>
      <c r="CA582" s="536"/>
      <c r="CB582" s="536"/>
      <c r="CC582" s="536"/>
      <c r="CD582" s="536"/>
      <c r="CE582" s="536"/>
      <c r="CF582" s="536"/>
      <c r="CG582" s="536"/>
      <c r="CH582" s="536"/>
      <c r="CI582" s="536"/>
      <c r="CJ582" s="536"/>
    </row>
    <row r="583" spans="1:88" s="694" customFormat="1" ht="5.25" customHeight="1" thickBot="1" x14ac:dyDescent="0.3">
      <c r="A583" s="1062"/>
      <c r="B583" s="1125" t="s">
        <v>348</v>
      </c>
      <c r="C583" s="1125"/>
      <c r="D583" s="692"/>
      <c r="E583" s="692"/>
      <c r="F583" s="692"/>
      <c r="G583" s="692"/>
      <c r="H583" s="692"/>
      <c r="I583" s="692"/>
      <c r="J583" s="692"/>
      <c r="K583" s="693"/>
      <c r="L583" s="693"/>
      <c r="M583" s="693"/>
      <c r="N583" s="693"/>
      <c r="O583" s="693"/>
      <c r="P583" s="693"/>
      <c r="Q583" s="693"/>
      <c r="R583" s="693"/>
      <c r="S583" s="693"/>
      <c r="T583" s="693"/>
      <c r="U583" s="693"/>
      <c r="V583" s="693"/>
      <c r="W583" s="693"/>
      <c r="X583" s="693"/>
      <c r="Y583" s="693"/>
      <c r="Z583" s="693"/>
      <c r="AA583" s="693"/>
      <c r="AB583" s="693"/>
      <c r="AC583" s="693"/>
      <c r="AD583" s="693"/>
      <c r="AE583" s="693"/>
      <c r="AF583" s="693"/>
      <c r="AG583" s="693"/>
      <c r="AH583" s="693"/>
      <c r="AI583" s="693"/>
      <c r="AJ583" s="693"/>
      <c r="AK583" s="693"/>
      <c r="AL583" s="693"/>
      <c r="AM583" s="693"/>
      <c r="AN583" s="693"/>
      <c r="AO583" s="693"/>
      <c r="AP583" s="693"/>
      <c r="AQ583" s="693"/>
      <c r="AR583" s="693"/>
      <c r="AS583" s="693"/>
      <c r="AT583" s="693"/>
      <c r="AU583" s="693"/>
      <c r="AV583" s="693"/>
      <c r="AW583" s="693"/>
      <c r="AX583" s="693"/>
      <c r="AY583" s="693"/>
      <c r="AZ583" s="693"/>
      <c r="BA583" s="693"/>
      <c r="BB583" s="693"/>
      <c r="BC583" s="693"/>
      <c r="BD583" s="693"/>
      <c r="BE583" s="693"/>
      <c r="BF583" s="693"/>
      <c r="BG583" s="693"/>
      <c r="BH583" s="693"/>
      <c r="BI583" s="693"/>
      <c r="BJ583" s="693"/>
      <c r="BK583" s="693"/>
      <c r="BL583" s="693"/>
      <c r="BM583" s="693"/>
      <c r="BN583" s="693"/>
      <c r="BO583" s="693"/>
      <c r="BP583" s="693"/>
      <c r="BQ583" s="693"/>
      <c r="BR583" s="693"/>
      <c r="BS583" s="693"/>
      <c r="BT583" s="693"/>
      <c r="BU583" s="693"/>
      <c r="BV583" s="693"/>
      <c r="BW583" s="693"/>
      <c r="BX583" s="693"/>
      <c r="BY583" s="693"/>
      <c r="BZ583" s="693"/>
      <c r="CA583" s="693"/>
      <c r="CB583" s="693"/>
      <c r="CC583" s="693"/>
      <c r="CD583" s="693"/>
      <c r="CE583" s="693"/>
      <c r="CF583" s="693"/>
      <c r="CG583" s="693"/>
      <c r="CH583" s="693"/>
      <c r="CI583" s="693"/>
      <c r="CJ583" s="693"/>
    </row>
    <row r="584" spans="1:88" s="696" customFormat="1" ht="14.25" customHeight="1" thickBot="1" x14ac:dyDescent="0.3">
      <c r="A584" s="1058">
        <v>1</v>
      </c>
      <c r="B584" s="1125"/>
      <c r="C584" s="1125"/>
      <c r="D584" s="695">
        <f t="shared" ref="D584:J584" si="60">D585+D586</f>
        <v>551813</v>
      </c>
      <c r="E584" s="695">
        <f t="shared" si="60"/>
        <v>311590</v>
      </c>
      <c r="F584" s="695">
        <f t="shared" si="60"/>
        <v>311590</v>
      </c>
      <c r="G584" s="695">
        <f t="shared" si="60"/>
        <v>311590</v>
      </c>
      <c r="H584" s="695">
        <f t="shared" si="60"/>
        <v>311590</v>
      </c>
      <c r="I584" s="695">
        <f t="shared" si="60"/>
        <v>0</v>
      </c>
      <c r="J584" s="695">
        <f t="shared" si="60"/>
        <v>311590</v>
      </c>
      <c r="K584" s="693"/>
      <c r="L584" s="693"/>
      <c r="M584" s="693"/>
      <c r="N584" s="693"/>
      <c r="O584" s="693"/>
      <c r="P584" s="693"/>
      <c r="Q584" s="693"/>
      <c r="R584" s="693"/>
      <c r="S584" s="693"/>
      <c r="T584" s="693"/>
      <c r="U584" s="693"/>
      <c r="V584" s="693"/>
      <c r="W584" s="693"/>
      <c r="X584" s="693"/>
      <c r="Y584" s="693"/>
      <c r="Z584" s="693"/>
      <c r="AA584" s="693"/>
      <c r="AB584" s="693"/>
      <c r="AC584" s="693"/>
      <c r="AD584" s="693"/>
      <c r="AE584" s="693"/>
      <c r="AF584" s="693"/>
      <c r="AG584" s="693"/>
      <c r="AH584" s="693"/>
      <c r="AI584" s="693"/>
      <c r="AJ584" s="693"/>
      <c r="AK584" s="693"/>
      <c r="AL584" s="693"/>
      <c r="AM584" s="693"/>
      <c r="AN584" s="693"/>
      <c r="AO584" s="693"/>
      <c r="AP584" s="693"/>
      <c r="AQ584" s="693"/>
      <c r="AR584" s="693"/>
      <c r="AS584" s="693"/>
      <c r="AT584" s="693"/>
      <c r="AU584" s="693"/>
      <c r="AV584" s="693"/>
      <c r="AW584" s="693"/>
      <c r="AX584" s="693"/>
      <c r="AY584" s="693"/>
      <c r="AZ584" s="693"/>
      <c r="BA584" s="693"/>
      <c r="BB584" s="693"/>
      <c r="BC584" s="693"/>
      <c r="BD584" s="693"/>
      <c r="BE584" s="693"/>
      <c r="BF584" s="693"/>
      <c r="BG584" s="693"/>
      <c r="BH584" s="693"/>
      <c r="BI584" s="693"/>
      <c r="BJ584" s="693"/>
      <c r="BK584" s="693"/>
      <c r="BL584" s="693"/>
      <c r="BM584" s="693"/>
      <c r="BN584" s="693"/>
      <c r="BO584" s="693"/>
      <c r="BP584" s="693"/>
      <c r="BQ584" s="693"/>
      <c r="BR584" s="693"/>
      <c r="BS584" s="693"/>
      <c r="BT584" s="693"/>
      <c r="BU584" s="693"/>
      <c r="BV584" s="693"/>
      <c r="BW584" s="693"/>
      <c r="BX584" s="693"/>
      <c r="BY584" s="693"/>
      <c r="BZ584" s="693"/>
      <c r="CA584" s="693"/>
      <c r="CB584" s="693"/>
      <c r="CC584" s="693"/>
      <c r="CD584" s="693"/>
      <c r="CE584" s="693"/>
      <c r="CF584" s="693"/>
      <c r="CG584" s="693"/>
      <c r="CH584" s="693"/>
      <c r="CI584" s="693"/>
      <c r="CJ584" s="693"/>
    </row>
    <row r="585" spans="1:88" s="537" customFormat="1" x14ac:dyDescent="0.25">
      <c r="A585" s="1055" t="s">
        <v>21</v>
      </c>
      <c r="B585" s="697" t="s">
        <v>349</v>
      </c>
      <c r="C585" s="675"/>
      <c r="D585" s="698">
        <f>'Pl 2014-17 PFC'!D544</f>
        <v>251813</v>
      </c>
      <c r="E585" s="993">
        <f>'Pl 2014-17 PFC'!E544</f>
        <v>211590</v>
      </c>
      <c r="F585" s="677">
        <f>'Pl 2014-17 PFC'!F544</f>
        <v>211590</v>
      </c>
      <c r="G585" s="677">
        <f>'Pl 2014-17 PFC'!G544</f>
        <v>211590</v>
      </c>
      <c r="H585" s="677">
        <f>'Pl 2014-17 PFC'!H544</f>
        <v>211590</v>
      </c>
      <c r="I585" s="993">
        <f>'Pl 2014-17 PFC'!J544</f>
        <v>0</v>
      </c>
      <c r="J585" s="993">
        <f>'Pl 2014-17 PFC'!K544</f>
        <v>211590</v>
      </c>
      <c r="K585" s="450"/>
      <c r="L585" s="450"/>
      <c r="M585" s="450"/>
      <c r="N585" s="450"/>
      <c r="O585" s="450"/>
      <c r="P585" s="450"/>
      <c r="Q585" s="450"/>
      <c r="R585" s="450"/>
      <c r="S585" s="450"/>
      <c r="T585" s="450"/>
      <c r="U585" s="450"/>
      <c r="V585" s="450"/>
      <c r="W585" s="450"/>
      <c r="X585" s="450"/>
      <c r="Y585" s="450"/>
      <c r="Z585" s="450"/>
      <c r="AA585" s="450"/>
      <c r="AB585" s="450"/>
      <c r="AC585" s="450"/>
      <c r="AD585" s="450"/>
      <c r="AE585" s="450"/>
      <c r="AF585" s="450"/>
      <c r="AG585" s="450"/>
      <c r="AH585" s="450"/>
      <c r="AI585" s="450"/>
      <c r="AJ585" s="450"/>
      <c r="AK585" s="536"/>
      <c r="AL585" s="536"/>
    </row>
    <row r="586" spans="1:88" s="537" customFormat="1" ht="16.5" thickBot="1" x14ac:dyDescent="0.3">
      <c r="A586" s="1059" t="s">
        <v>22</v>
      </c>
      <c r="B586" s="681" t="s">
        <v>350</v>
      </c>
      <c r="C586" s="682"/>
      <c r="D586" s="699">
        <f>'Pl 2014-17 PFC'!D545</f>
        <v>300000</v>
      </c>
      <c r="E586" s="700">
        <f>'Pl 2014-17 PFC'!E545</f>
        <v>100000</v>
      </c>
      <c r="F586" s="700">
        <f>'Pl 2014-17 PFC'!F545</f>
        <v>100000</v>
      </c>
      <c r="G586" s="700">
        <f>'Pl 2014-17 PFC'!G545</f>
        <v>100000</v>
      </c>
      <c r="H586" s="700">
        <f>'Pl 2014-17 PFC'!H545</f>
        <v>100000</v>
      </c>
      <c r="I586" s="683">
        <f>'Pl 2014-17 PFC'!J545</f>
        <v>0</v>
      </c>
      <c r="J586" s="683">
        <f>'Pl 2014-17 PFC'!K545</f>
        <v>100000</v>
      </c>
      <c r="K586" s="450"/>
      <c r="L586" s="450"/>
      <c r="M586" s="450"/>
      <c r="N586" s="450"/>
      <c r="O586" s="450"/>
      <c r="P586" s="450"/>
      <c r="Q586" s="450"/>
      <c r="R586" s="450"/>
      <c r="S586" s="450"/>
      <c r="T586" s="450"/>
      <c r="U586" s="450"/>
      <c r="V586" s="450"/>
      <c r="W586" s="450"/>
      <c r="X586" s="450"/>
      <c r="Y586" s="450"/>
      <c r="Z586" s="450"/>
      <c r="AA586" s="450"/>
      <c r="AB586" s="450"/>
      <c r="AC586" s="450"/>
      <c r="AD586" s="450"/>
      <c r="AE586" s="450"/>
      <c r="AF586" s="450"/>
      <c r="AG586" s="450"/>
      <c r="AH586" s="450"/>
      <c r="AI586" s="450"/>
      <c r="AJ586" s="450"/>
      <c r="AK586" s="536"/>
      <c r="AL586" s="536"/>
    </row>
    <row r="587" spans="1:88" x14ac:dyDescent="0.25">
      <c r="D587" s="701"/>
      <c r="E587" s="701"/>
      <c r="F587" s="701"/>
      <c r="G587" s="701"/>
      <c r="H587" s="701"/>
      <c r="I587" s="701"/>
      <c r="J587" s="701"/>
    </row>
    <row r="588" spans="1:88" ht="15.75" hidden="1" customHeight="1" x14ac:dyDescent="0.25">
      <c r="A588" s="459" t="s">
        <v>530</v>
      </c>
      <c r="B588" s="1126" t="s">
        <v>531</v>
      </c>
      <c r="C588" s="1126"/>
      <c r="D588" s="1126"/>
      <c r="E588" s="1126"/>
      <c r="F588" s="1126"/>
      <c r="G588" s="1126"/>
      <c r="H588" s="702"/>
      <c r="I588" s="450"/>
      <c r="J588" s="450"/>
    </row>
    <row r="589" spans="1:88" ht="15.75" hidden="1" customHeight="1" x14ac:dyDescent="0.25">
      <c r="A589" s="459" t="s">
        <v>530</v>
      </c>
      <c r="B589" s="1127" t="s">
        <v>532</v>
      </c>
      <c r="C589" s="1127"/>
      <c r="D589" s="1127"/>
      <c r="E589" s="1127"/>
      <c r="F589" s="1127"/>
      <c r="G589" s="1127"/>
      <c r="H589" s="702"/>
      <c r="I589" s="450"/>
      <c r="J589" s="450"/>
    </row>
    <row r="590" spans="1:88" hidden="1" x14ac:dyDescent="0.25">
      <c r="A590" s="459" t="s">
        <v>530</v>
      </c>
      <c r="B590" s="703" t="s">
        <v>533</v>
      </c>
      <c r="C590" s="704">
        <f>D58</f>
        <v>41131</v>
      </c>
      <c r="D590" s="703" t="s">
        <v>534</v>
      </c>
      <c r="E590" s="703"/>
      <c r="F590" s="703"/>
      <c r="G590" s="703"/>
      <c r="H590" s="702"/>
      <c r="I590" s="703"/>
      <c r="J590" s="703"/>
    </row>
    <row r="591" spans="1:88" x14ac:dyDescent="0.25">
      <c r="A591" s="459" t="s">
        <v>669</v>
      </c>
      <c r="B591" s="703" t="s">
        <v>535</v>
      </c>
      <c r="C591" s="704">
        <f>E58</f>
        <v>45573</v>
      </c>
      <c r="D591" s="703" t="s">
        <v>534</v>
      </c>
      <c r="E591" s="994">
        <f>E58</f>
        <v>45573</v>
      </c>
      <c r="F591" s="703"/>
      <c r="G591" s="703"/>
      <c r="H591" s="702"/>
      <c r="I591" s="994"/>
      <c r="J591" s="994"/>
    </row>
    <row r="592" spans="1:88" hidden="1" x14ac:dyDescent="0.25">
      <c r="A592" s="459" t="s">
        <v>530</v>
      </c>
      <c r="B592" s="703" t="s">
        <v>536</v>
      </c>
      <c r="C592" s="704">
        <f>F58</f>
        <v>45483</v>
      </c>
      <c r="D592" s="703" t="s">
        <v>534</v>
      </c>
      <c r="E592" s="703"/>
      <c r="F592" s="703"/>
      <c r="G592" s="703"/>
      <c r="I592" s="703"/>
      <c r="J592" s="703"/>
    </row>
    <row r="593" spans="1:10" ht="18.75" hidden="1" customHeight="1" x14ac:dyDescent="0.25">
      <c r="A593" s="459"/>
      <c r="B593" s="703"/>
      <c r="C593" s="704">
        <f t="shared" ref="C593:C599" si="61">D61</f>
        <v>950</v>
      </c>
      <c r="D593" s="703" t="s">
        <v>534</v>
      </c>
      <c r="E593" s="703"/>
      <c r="F593" s="703"/>
      <c r="G593" s="703"/>
      <c r="I593" s="703"/>
      <c r="J593" s="703"/>
    </row>
    <row r="594" spans="1:10" ht="15.75" hidden="1" customHeight="1" x14ac:dyDescent="0.25">
      <c r="A594" s="459"/>
      <c r="B594" s="703"/>
      <c r="C594" s="704">
        <f t="shared" si="61"/>
        <v>0</v>
      </c>
      <c r="D594" s="703" t="s">
        <v>534</v>
      </c>
      <c r="E594" s="703"/>
      <c r="F594" s="703"/>
      <c r="G594" s="703"/>
      <c r="I594" s="703"/>
      <c r="J594" s="703"/>
    </row>
    <row r="595" spans="1:10" ht="18.75" hidden="1" customHeight="1" x14ac:dyDescent="0.25">
      <c r="A595" s="459"/>
      <c r="B595" s="703" t="s">
        <v>537</v>
      </c>
      <c r="C595" s="704">
        <f t="shared" si="61"/>
        <v>0</v>
      </c>
      <c r="D595" s="703" t="s">
        <v>534</v>
      </c>
      <c r="E595" s="703"/>
      <c r="F595" s="703"/>
      <c r="G595" s="703"/>
      <c r="I595" s="703"/>
      <c r="J595" s="703"/>
    </row>
    <row r="596" spans="1:10" ht="18.75" hidden="1" customHeight="1" x14ac:dyDescent="0.25">
      <c r="A596" s="459"/>
      <c r="B596" s="703" t="s">
        <v>538</v>
      </c>
      <c r="C596" s="704">
        <f t="shared" si="61"/>
        <v>0</v>
      </c>
      <c r="D596" s="703" t="s">
        <v>534</v>
      </c>
      <c r="E596" s="703"/>
      <c r="F596" s="703"/>
      <c r="G596" s="703"/>
      <c r="I596" s="703"/>
      <c r="J596" s="703"/>
    </row>
    <row r="597" spans="1:10" ht="18.75" hidden="1" customHeight="1" x14ac:dyDescent="0.25">
      <c r="A597" s="459"/>
      <c r="B597" s="703" t="s">
        <v>539</v>
      </c>
      <c r="C597" s="704">
        <f t="shared" si="61"/>
        <v>0</v>
      </c>
      <c r="D597" s="703" t="s">
        <v>534</v>
      </c>
      <c r="E597" s="703"/>
      <c r="F597" s="703"/>
      <c r="G597" s="703"/>
      <c r="I597" s="703"/>
      <c r="J597" s="703"/>
    </row>
    <row r="598" spans="1:10" ht="18.75" hidden="1" customHeight="1" x14ac:dyDescent="0.25">
      <c r="A598" s="459"/>
      <c r="B598" s="703" t="s">
        <v>540</v>
      </c>
      <c r="C598" s="705" t="str">
        <f t="shared" si="61"/>
        <v>Przewidywane 
wykonanie 
w 2013 r.</v>
      </c>
      <c r="D598" s="703" t="s">
        <v>534</v>
      </c>
      <c r="E598" s="703"/>
      <c r="F598" s="703"/>
      <c r="G598" s="703"/>
      <c r="I598" s="703"/>
      <c r="J598" s="703"/>
    </row>
    <row r="599" spans="1:10" ht="15.75" hidden="1" customHeight="1" x14ac:dyDescent="0.25">
      <c r="A599" s="459"/>
      <c r="B599" s="703"/>
      <c r="C599" s="704" t="str">
        <f t="shared" si="61"/>
        <v>w tysiącach złotych</v>
      </c>
      <c r="D599" s="703" t="s">
        <v>534</v>
      </c>
      <c r="E599" s="703"/>
      <c r="F599" s="703"/>
      <c r="G599" s="703"/>
      <c r="I599" s="703"/>
      <c r="J599" s="703"/>
    </row>
    <row r="600" spans="1:10" hidden="1" x14ac:dyDescent="0.25">
      <c r="A600" s="459" t="s">
        <v>530</v>
      </c>
      <c r="B600" s="703" t="s">
        <v>541</v>
      </c>
      <c r="C600" s="704">
        <f>G58</f>
        <v>34077</v>
      </c>
      <c r="D600" s="703" t="s">
        <v>534</v>
      </c>
      <c r="E600" s="703"/>
      <c r="F600" s="703"/>
      <c r="G600" s="703"/>
      <c r="I600" s="703"/>
      <c r="J600" s="703"/>
    </row>
    <row r="601" spans="1:10" hidden="1" x14ac:dyDescent="0.25">
      <c r="A601" s="459" t="s">
        <v>530</v>
      </c>
      <c r="B601" s="703" t="s">
        <v>542</v>
      </c>
      <c r="C601" s="704">
        <f>H58</f>
        <v>32120</v>
      </c>
      <c r="D601" s="703" t="s">
        <v>534</v>
      </c>
    </row>
    <row r="602" spans="1:10" hidden="1" x14ac:dyDescent="0.25">
      <c r="A602" s="459"/>
      <c r="B602" s="703"/>
      <c r="C602" s="704"/>
      <c r="D602" s="703"/>
    </row>
    <row r="603" spans="1:10" ht="23.25" hidden="1" x14ac:dyDescent="0.25">
      <c r="A603" s="706"/>
      <c r="B603" s="460" t="s">
        <v>543</v>
      </c>
      <c r="C603" s="706"/>
      <c r="D603" s="706"/>
      <c r="E603" s="706"/>
      <c r="F603" s="706"/>
      <c r="G603" s="706"/>
      <c r="I603" s="706"/>
      <c r="J603" s="706"/>
    </row>
    <row r="604" spans="1:10" ht="23.25" hidden="1" x14ac:dyDescent="0.25">
      <c r="A604" s="706"/>
      <c r="B604" s="460" t="s">
        <v>544</v>
      </c>
      <c r="C604" s="706"/>
      <c r="D604" s="706"/>
      <c r="E604" s="706"/>
      <c r="F604" s="706"/>
      <c r="G604" s="706"/>
      <c r="I604" s="706"/>
      <c r="J604" s="706"/>
    </row>
    <row r="605" spans="1:10" ht="15.75" hidden="1" customHeight="1" x14ac:dyDescent="0.25">
      <c r="A605" s="706"/>
      <c r="B605" s="460" t="s">
        <v>545</v>
      </c>
      <c r="C605" s="706"/>
      <c r="D605" s="706"/>
      <c r="E605" s="706"/>
      <c r="F605" s="706"/>
      <c r="G605" s="706"/>
      <c r="I605" s="706"/>
      <c r="J605" s="706"/>
    </row>
    <row r="606" spans="1:10" ht="15.75" hidden="1" customHeight="1" x14ac:dyDescent="0.25">
      <c r="A606" s="706"/>
      <c r="B606" s="460" t="s">
        <v>546</v>
      </c>
      <c r="C606" s="706"/>
      <c r="D606" s="706"/>
      <c r="E606" s="706"/>
      <c r="F606" s="706"/>
      <c r="G606" s="706"/>
      <c r="I606" s="706"/>
      <c r="J606" s="706"/>
    </row>
    <row r="607" spans="1:10" ht="15.75" hidden="1" customHeight="1" x14ac:dyDescent="0.25">
      <c r="A607" s="706"/>
      <c r="B607" s="706"/>
      <c r="C607" s="706"/>
      <c r="D607" s="706"/>
      <c r="E607" s="706"/>
      <c r="F607" s="706"/>
      <c r="G607" s="706"/>
      <c r="I607" s="706"/>
      <c r="J607" s="706"/>
    </row>
    <row r="608" spans="1:10" ht="15.75" hidden="1" customHeight="1" x14ac:dyDescent="0.25">
      <c r="A608" s="706"/>
      <c r="B608" s="706"/>
      <c r="C608" s="706"/>
      <c r="D608" s="706"/>
      <c r="E608" s="706"/>
      <c r="F608" s="706"/>
      <c r="G608" s="706"/>
      <c r="I608" s="706"/>
      <c r="J608" s="706"/>
    </row>
    <row r="609" spans="1:10" ht="15.75" hidden="1" customHeight="1" x14ac:dyDescent="0.25">
      <c r="A609" s="706"/>
      <c r="B609" s="706"/>
      <c r="C609" s="706"/>
      <c r="D609" s="706"/>
      <c r="E609" s="706"/>
      <c r="F609" s="706"/>
      <c r="G609" s="706"/>
      <c r="I609" s="706"/>
      <c r="J609" s="706"/>
    </row>
    <row r="610" spans="1:10" ht="15.75" hidden="1" customHeight="1" x14ac:dyDescent="0.25">
      <c r="A610" s="706"/>
      <c r="B610" s="706"/>
      <c r="C610" s="706"/>
      <c r="D610" s="706"/>
      <c r="E610" s="706"/>
      <c r="F610" s="706"/>
      <c r="G610" s="706"/>
      <c r="I610" s="706"/>
      <c r="J610" s="706"/>
    </row>
    <row r="611" spans="1:10" ht="15.75" hidden="1" customHeight="1" x14ac:dyDescent="0.25">
      <c r="A611" s="706"/>
      <c r="B611" s="706"/>
      <c r="C611" s="706"/>
      <c r="D611" s="706"/>
      <c r="E611" s="706"/>
      <c r="F611" s="706"/>
      <c r="G611" s="706"/>
      <c r="I611" s="706"/>
      <c r="J611" s="706"/>
    </row>
    <row r="612" spans="1:10" ht="15.75" hidden="1" customHeight="1" x14ac:dyDescent="0.25">
      <c r="A612" s="706"/>
      <c r="B612" s="706"/>
      <c r="C612" s="706"/>
      <c r="D612" s="706"/>
      <c r="E612" s="706"/>
      <c r="F612" s="706"/>
      <c r="G612" s="706"/>
      <c r="I612" s="706"/>
      <c r="J612" s="706"/>
    </row>
    <row r="613" spans="1:10" ht="15.75" customHeight="1" x14ac:dyDescent="0.25">
      <c r="A613" s="706"/>
      <c r="B613" s="706"/>
      <c r="C613" s="706"/>
      <c r="D613" s="706"/>
      <c r="E613" s="706"/>
      <c r="F613" s="706"/>
      <c r="G613" s="706"/>
      <c r="I613" s="706"/>
      <c r="J613" s="706"/>
    </row>
    <row r="614" spans="1:10" ht="15.75" customHeight="1" x14ac:dyDescent="0.25">
      <c r="A614" s="706"/>
      <c r="B614" s="706"/>
      <c r="C614" s="706"/>
      <c r="D614" s="706"/>
      <c r="E614" s="706"/>
      <c r="F614" s="706"/>
      <c r="G614" s="706"/>
      <c r="I614" s="706"/>
      <c r="J614" s="706"/>
    </row>
    <row r="615" spans="1:10" ht="15.75" customHeight="1" x14ac:dyDescent="0.25">
      <c r="A615" s="706"/>
      <c r="B615" s="706"/>
      <c r="C615" s="706"/>
      <c r="D615" s="706"/>
      <c r="E615" s="706"/>
      <c r="F615" s="706"/>
      <c r="G615" s="706"/>
      <c r="I615" s="706"/>
      <c r="J615" s="706"/>
    </row>
    <row r="616" spans="1:10" ht="15.75" customHeight="1" x14ac:dyDescent="0.25">
      <c r="A616" s="706"/>
      <c r="B616" s="706"/>
      <c r="C616" s="706"/>
      <c r="D616" s="706"/>
      <c r="E616" s="706"/>
      <c r="F616" s="706"/>
      <c r="G616" s="706"/>
      <c r="I616" s="706"/>
      <c r="J616" s="706"/>
    </row>
    <row r="617" spans="1:10" ht="15.75" customHeight="1" x14ac:dyDescent="0.25">
      <c r="A617" s="706"/>
      <c r="B617" s="706"/>
      <c r="C617" s="706"/>
      <c r="D617" s="706"/>
      <c r="E617" s="706"/>
      <c r="F617" s="706"/>
      <c r="G617" s="706"/>
      <c r="I617" s="706"/>
      <c r="J617" s="706"/>
    </row>
    <row r="618" spans="1:10" ht="15.75" customHeight="1" x14ac:dyDescent="0.25">
      <c r="A618" s="706"/>
      <c r="B618" s="706"/>
      <c r="C618" s="706"/>
      <c r="D618" s="706"/>
      <c r="E618" s="706"/>
      <c r="F618" s="706"/>
      <c r="G618" s="706"/>
      <c r="I618" s="706"/>
      <c r="J618" s="706"/>
    </row>
    <row r="619" spans="1:10" ht="15.75" customHeight="1" x14ac:dyDescent="0.25">
      <c r="A619" s="706"/>
      <c r="B619" s="706"/>
      <c r="C619" s="706"/>
      <c r="D619" s="706"/>
      <c r="E619" s="706"/>
      <c r="F619" s="706"/>
      <c r="G619" s="706"/>
      <c r="I619" s="706"/>
      <c r="J619" s="706"/>
    </row>
    <row r="620" spans="1:10" ht="15.75" customHeight="1" x14ac:dyDescent="0.25">
      <c r="A620" s="706"/>
      <c r="B620" s="706"/>
      <c r="C620" s="706"/>
      <c r="D620" s="706"/>
      <c r="E620" s="706"/>
      <c r="F620" s="706"/>
      <c r="G620" s="706"/>
      <c r="I620" s="706"/>
      <c r="J620" s="706"/>
    </row>
  </sheetData>
  <sheetProtection password="CEBE" sheet="1" objects="1" scenarios="1" selectLockedCells="1" selectUnlockedCells="1"/>
  <mergeCells count="39">
    <mergeCell ref="B583:C584"/>
    <mergeCell ref="B588:G588"/>
    <mergeCell ref="B589:G589"/>
    <mergeCell ref="A567:A568"/>
    <mergeCell ref="B567:C568"/>
    <mergeCell ref="D568:H568"/>
    <mergeCell ref="B570:C571"/>
    <mergeCell ref="A580:A581"/>
    <mergeCell ref="B580:C581"/>
    <mergeCell ref="E581:J581"/>
    <mergeCell ref="A66:A67"/>
    <mergeCell ref="B66:B67"/>
    <mergeCell ref="C66:C67"/>
    <mergeCell ref="A326:A327"/>
    <mergeCell ref="B326:B327"/>
    <mergeCell ref="C326:C327"/>
    <mergeCell ref="D327:H327"/>
    <mergeCell ref="D67:J67"/>
    <mergeCell ref="B18:C18"/>
    <mergeCell ref="B19:C19"/>
    <mergeCell ref="B20:C20"/>
    <mergeCell ref="B21:C21"/>
    <mergeCell ref="B62:C62"/>
    <mergeCell ref="B63:C63"/>
    <mergeCell ref="A8:B8"/>
    <mergeCell ref="A9:B9"/>
    <mergeCell ref="A11:H11"/>
    <mergeCell ref="A14:A15"/>
    <mergeCell ref="B14:C15"/>
    <mergeCell ref="E15:J15"/>
    <mergeCell ref="A12:J12"/>
    <mergeCell ref="I2:J5"/>
    <mergeCell ref="A1:B1"/>
    <mergeCell ref="A2:B2"/>
    <mergeCell ref="A3:B3"/>
    <mergeCell ref="G3:H6"/>
    <mergeCell ref="A4:B4"/>
    <mergeCell ref="A5:B5"/>
    <mergeCell ref="A6:B6"/>
  </mergeCells>
  <conditionalFormatting sqref="D18">
    <cfRule type="cellIs" dxfId="4" priority="3" stopIfTrue="1" operator="notEqual">
      <formula>$D$110</formula>
    </cfRule>
  </conditionalFormatting>
  <conditionalFormatting sqref="D308">
    <cfRule type="cellIs" dxfId="3" priority="4" stopIfTrue="1" operator="notEqual">
      <formula>$D$308</formula>
    </cfRule>
  </conditionalFormatting>
  <conditionalFormatting sqref="D309">
    <cfRule type="cellIs" dxfId="2" priority="5" stopIfTrue="1" operator="notEqual">
      <formula>$D$308</formula>
    </cfRule>
  </conditionalFormatting>
  <conditionalFormatting sqref="E18:H18">
    <cfRule type="cellIs" dxfId="1" priority="6" stopIfTrue="1" operator="notEqual">
      <formula>$E$110</formula>
    </cfRule>
  </conditionalFormatting>
  <conditionalFormatting sqref="E308:H308 J308">
    <cfRule type="cellIs" dxfId="0" priority="7" stopIfTrue="1" operator="notEqual">
      <formula>$E$308</formula>
    </cfRule>
  </conditionalFormatting>
  <pageMargins left="1.1811023622047245" right="0.78740157480314965" top="1.0629921259842521" bottom="1.0629921259842521" header="0.78740157480314965" footer="0.78740157480314965"/>
  <pageSetup paperSize="9" scale="46" firstPageNumber="0" fitToWidth="2" fitToHeight="2" orientation="portrait" r:id="rId1"/>
  <headerFooter alignWithMargins="0">
    <oddFooter>&amp;C&amp;"Times New Roman,Normalny"Strona &amp;P</oddFooter>
  </headerFooter>
  <rowBreaks count="1" manualBreakCount="1">
    <brk id="10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69"/>
  <sheetViews>
    <sheetView view="pageBreakPreview" topLeftCell="B1" zoomScale="70" zoomScaleNormal="65" zoomScaleSheetLayoutView="70" workbookViewId="0">
      <selection activeCell="D10" sqref="D10"/>
    </sheetView>
  </sheetViews>
  <sheetFormatPr defaultRowHeight="15.75" x14ac:dyDescent="0.25"/>
  <cols>
    <col min="1" max="1" width="0" style="836" hidden="1" customWidth="1"/>
    <col min="2" max="2" width="122.375" style="836" customWidth="1"/>
    <col min="3" max="3" width="16.25" style="836" hidden="1" customWidth="1"/>
    <col min="4" max="4" width="23" style="836" customWidth="1"/>
    <col min="5" max="7" width="12" style="836" hidden="1" customWidth="1"/>
    <col min="8" max="8" width="0.125" style="836" hidden="1" customWidth="1"/>
    <col min="9" max="9" width="22.125" style="836" customWidth="1"/>
    <col min="10" max="12" width="12" style="836" hidden="1" customWidth="1"/>
    <col min="13" max="13" width="13.375" style="836" hidden="1" customWidth="1"/>
    <col min="14" max="14" width="22.125" style="836" customWidth="1"/>
    <col min="15" max="17" width="12" style="836" hidden="1" customWidth="1"/>
    <col min="18" max="18" width="14.75" style="836" hidden="1" customWidth="1"/>
    <col min="19" max="19" width="22.75" style="836" customWidth="1"/>
    <col min="20" max="22" width="12" style="836" hidden="1" customWidth="1"/>
    <col min="23" max="23" width="15.375" style="836" hidden="1" customWidth="1"/>
    <col min="24" max="24" width="20.875" style="836" customWidth="1"/>
    <col min="25" max="27" width="12" style="836" hidden="1" customWidth="1"/>
    <col min="28" max="28" width="8.25" style="836" hidden="1" customWidth="1"/>
    <col min="29" max="29" width="21.25" style="836" customWidth="1"/>
    <col min="30" max="32" width="12" style="836" hidden="1" customWidth="1"/>
    <col min="33" max="33" width="14.75" style="838" hidden="1" customWidth="1"/>
    <col min="34" max="34" width="25.75" style="838" customWidth="1"/>
    <col min="35" max="36" width="12" style="838" hidden="1" customWidth="1"/>
    <col min="37" max="37" width="12" style="836" hidden="1" customWidth="1"/>
    <col min="38" max="38" width="0" style="838" hidden="1" customWidth="1"/>
    <col min="39" max="39" width="13.375" style="839" customWidth="1"/>
    <col min="40" max="40" width="15" style="836" customWidth="1"/>
    <col min="41" max="41" width="9" style="836"/>
    <col min="42" max="42" width="9" style="838"/>
    <col min="43" max="16384" width="9" style="836"/>
  </cols>
  <sheetData>
    <row r="3" spans="1:43" x14ac:dyDescent="0.25">
      <c r="H3" s="837"/>
      <c r="I3" s="837"/>
      <c r="J3" s="837"/>
      <c r="K3" s="837"/>
    </row>
    <row r="4" spans="1:43" ht="21" x14ac:dyDescent="0.35">
      <c r="A4" s="840" t="s">
        <v>547</v>
      </c>
      <c r="B4" s="841" t="s">
        <v>548</v>
      </c>
      <c r="AL4" s="842"/>
    </row>
    <row r="5" spans="1:43" s="844" customFormat="1" ht="18" customHeight="1" x14ac:dyDescent="0.35">
      <c r="A5" s="843" t="s">
        <v>146</v>
      </c>
      <c r="B5" s="841" t="s">
        <v>146</v>
      </c>
      <c r="AG5" s="845"/>
      <c r="AH5" s="845"/>
      <c r="AI5" s="845"/>
      <c r="AJ5" s="845"/>
      <c r="AL5" s="845"/>
      <c r="AM5" s="839"/>
      <c r="AP5" s="845"/>
    </row>
    <row r="6" spans="1:43" s="844" customFormat="1" ht="18" customHeight="1" x14ac:dyDescent="0.35">
      <c r="A6" s="843" t="s">
        <v>549</v>
      </c>
      <c r="B6" s="841" t="s">
        <v>549</v>
      </c>
      <c r="AG6" s="845"/>
      <c r="AH6" s="845"/>
      <c r="AI6" s="845"/>
      <c r="AJ6" s="845"/>
      <c r="AL6" s="845"/>
      <c r="AM6" s="839"/>
      <c r="AP6" s="845"/>
    </row>
    <row r="7" spans="1:43" s="844" customFormat="1" ht="15" customHeight="1" x14ac:dyDescent="0.35"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0"/>
      <c r="AK7" s="840"/>
      <c r="AL7" s="845"/>
      <c r="AM7" s="839"/>
      <c r="AP7" s="845"/>
    </row>
    <row r="8" spans="1:43" s="844" customFormat="1" ht="15" customHeight="1" thickBot="1" x14ac:dyDescent="0.4">
      <c r="B8" s="840"/>
      <c r="C8" s="840"/>
      <c r="D8" s="840"/>
      <c r="E8" s="840"/>
      <c r="F8" s="840"/>
      <c r="G8" s="840"/>
      <c r="H8" s="840"/>
      <c r="I8" s="988" t="s">
        <v>662</v>
      </c>
      <c r="J8" s="988"/>
      <c r="K8" s="988"/>
      <c r="L8" s="988"/>
      <c r="M8" s="988"/>
      <c r="N8" s="988"/>
      <c r="O8" s="988"/>
      <c r="P8" s="988"/>
      <c r="Q8" s="988"/>
      <c r="R8" s="988"/>
      <c r="S8" s="988" t="s">
        <v>662</v>
      </c>
      <c r="T8" s="988"/>
      <c r="U8" s="988"/>
      <c r="V8" s="988"/>
      <c r="W8" s="988"/>
      <c r="X8" s="988"/>
      <c r="Y8" s="988"/>
      <c r="Z8" s="988"/>
      <c r="AA8" s="988"/>
      <c r="AB8" s="988"/>
      <c r="AC8" s="988" t="s">
        <v>662</v>
      </c>
      <c r="AD8" s="988"/>
      <c r="AE8" s="988"/>
      <c r="AF8" s="988"/>
      <c r="AG8" s="989"/>
      <c r="AH8" s="988" t="s">
        <v>662</v>
      </c>
      <c r="AI8" s="845"/>
      <c r="AJ8" s="845"/>
      <c r="AK8" s="846" t="s">
        <v>550</v>
      </c>
      <c r="AM8" s="839"/>
      <c r="AP8" s="845"/>
    </row>
    <row r="9" spans="1:43" s="847" customFormat="1" ht="62.25" customHeight="1" thickBot="1" x14ac:dyDescent="0.3">
      <c r="A9" s="1132" t="s">
        <v>551</v>
      </c>
      <c r="B9" s="1133" t="s">
        <v>552</v>
      </c>
      <c r="C9" s="982" t="s">
        <v>553</v>
      </c>
      <c r="D9" s="985" t="s">
        <v>553</v>
      </c>
      <c r="E9" s="985"/>
      <c r="F9" s="985"/>
      <c r="G9" s="986"/>
      <c r="H9" s="981" t="s">
        <v>554</v>
      </c>
      <c r="I9" s="987" t="s">
        <v>554</v>
      </c>
      <c r="J9" s="979"/>
      <c r="K9" s="979"/>
      <c r="L9" s="980"/>
      <c r="M9" s="1130" t="s">
        <v>660</v>
      </c>
      <c r="N9" s="1130"/>
      <c r="O9" s="1130"/>
      <c r="P9" s="1130"/>
      <c r="Q9" s="1130"/>
      <c r="R9" s="978" t="s">
        <v>555</v>
      </c>
      <c r="S9" s="987" t="s">
        <v>555</v>
      </c>
      <c r="T9" s="979"/>
      <c r="U9" s="979"/>
      <c r="V9" s="980"/>
      <c r="W9" s="1130" t="s">
        <v>556</v>
      </c>
      <c r="X9" s="1130"/>
      <c r="Y9" s="1130"/>
      <c r="Z9" s="1130"/>
      <c r="AA9" s="1130"/>
      <c r="AB9" s="978" t="s">
        <v>557</v>
      </c>
      <c r="AC9" s="987" t="s">
        <v>557</v>
      </c>
      <c r="AD9" s="979"/>
      <c r="AE9" s="979"/>
      <c r="AF9" s="980"/>
      <c r="AG9" s="978" t="s">
        <v>558</v>
      </c>
      <c r="AH9" s="981" t="s">
        <v>661</v>
      </c>
      <c r="AI9" s="979"/>
      <c r="AJ9" s="979"/>
      <c r="AK9" s="980"/>
      <c r="AL9" s="1131" t="s">
        <v>559</v>
      </c>
      <c r="AM9" s="839"/>
      <c r="AP9" s="848"/>
    </row>
    <row r="10" spans="1:43" s="847" customFormat="1" ht="111.75" customHeight="1" thickBot="1" x14ac:dyDescent="0.3">
      <c r="A10" s="1132"/>
      <c r="B10" s="1134"/>
      <c r="C10" s="983" t="str">
        <f>'Pl 2014-17 PFC MF'!D14</f>
        <v>Przewidywane 
wykonanie 
w 2013 r.</v>
      </c>
      <c r="D10" s="977" t="str">
        <f>'Pl 2014-17 PFC MF'!E14</f>
        <v>Plan wg. Ustawy Budżetowej zmieniony
za zgodą MF z dnia 
30  kwietnia 2014 r. oraz 
opinią KFP 
z dnia 7 maja 2014 r.</v>
      </c>
      <c r="E10" s="977" t="str">
        <f>'Pl 2014-17 PFC MF'!F14</f>
        <v>Projekt planu 
na 2015 r.</v>
      </c>
      <c r="F10" s="977" t="str">
        <f>'Pl 2014-17 PFC MF'!G14</f>
        <v>Projekt planu 
na 2016 r.</v>
      </c>
      <c r="G10" s="977" t="str">
        <f>'Pl 2014-17 PFC MF'!H14</f>
        <v>Projekt planu 
na 2017 r.</v>
      </c>
      <c r="H10" s="849" t="str">
        <f>C10</f>
        <v>Przewidywane 
wykonanie 
w 2013 r.</v>
      </c>
      <c r="I10" s="977" t="str">
        <f>D10</f>
        <v>Plan wg. Ustawy Budżetowej zmieniony
za zgodą MF z dnia 
30  kwietnia 2014 r. oraz 
opinią KFP 
z dnia 7 maja 2014 r.</v>
      </c>
      <c r="J10" s="849" t="str">
        <f>E10</f>
        <v>Projekt planu 
na 2015 r.</v>
      </c>
      <c r="K10" s="849" t="str">
        <f>F10</f>
        <v>Projekt planu 
na 2016 r.</v>
      </c>
      <c r="L10" s="849" t="s">
        <v>560</v>
      </c>
      <c r="M10" s="849" t="str">
        <f>C10</f>
        <v>Przewidywane 
wykonanie 
w 2013 r.</v>
      </c>
      <c r="N10" s="849" t="str">
        <f>D10</f>
        <v>Plan wg. Ustawy Budżetowej zmieniony
za zgodą MF z dnia 
30  kwietnia 2014 r. oraz 
opinią KFP 
z dnia 7 maja 2014 r.</v>
      </c>
      <c r="O10" s="849" t="str">
        <f>E10</f>
        <v>Projekt planu 
na 2015 r.</v>
      </c>
      <c r="P10" s="849" t="str">
        <f>F10</f>
        <v>Projekt planu 
na 2016 r.</v>
      </c>
      <c r="Q10" s="849" t="s">
        <v>560</v>
      </c>
      <c r="R10" s="849" t="str">
        <f>M10</f>
        <v>Przewidywane 
wykonanie 
w 2013 r.</v>
      </c>
      <c r="S10" s="977" t="str">
        <f>N10</f>
        <v>Plan wg. Ustawy Budżetowej zmieniony
za zgodą MF z dnia 
30  kwietnia 2014 r. oraz 
opinią KFP 
z dnia 7 maja 2014 r.</v>
      </c>
      <c r="T10" s="849" t="str">
        <f>O10</f>
        <v>Projekt planu 
na 2015 r.</v>
      </c>
      <c r="U10" s="849" t="str">
        <f>P10</f>
        <v>Projekt planu 
na 2016 r.</v>
      </c>
      <c r="V10" s="849" t="s">
        <v>560</v>
      </c>
      <c r="W10" s="849" t="str">
        <f>R10</f>
        <v>Przewidywane 
wykonanie 
w 2013 r.</v>
      </c>
      <c r="X10" s="849" t="str">
        <f>S10</f>
        <v>Plan wg. Ustawy Budżetowej zmieniony
za zgodą MF z dnia 
30  kwietnia 2014 r. oraz 
opinią KFP 
z dnia 7 maja 2014 r.</v>
      </c>
      <c r="Y10" s="849" t="str">
        <f>T10</f>
        <v>Projekt planu 
na 2015 r.</v>
      </c>
      <c r="Z10" s="849" t="str">
        <f>U10</f>
        <v>Projekt planu 
na 2016 r.</v>
      </c>
      <c r="AA10" s="849" t="s">
        <v>560</v>
      </c>
      <c r="AB10" s="849" t="str">
        <f>W10</f>
        <v>Przewidywane 
wykonanie 
w 2013 r.</v>
      </c>
      <c r="AC10" s="977" t="str">
        <f>X10</f>
        <v>Plan wg. Ustawy Budżetowej zmieniony
za zgodą MF z dnia 
30  kwietnia 2014 r. oraz 
opinią KFP 
z dnia 7 maja 2014 r.</v>
      </c>
      <c r="AD10" s="849" t="str">
        <f>Y10</f>
        <v>Projekt planu 
na 2015 r.</v>
      </c>
      <c r="AE10" s="849" t="str">
        <f>Z10</f>
        <v>Projekt planu 
na 2016 r.</v>
      </c>
      <c r="AF10" s="849" t="s">
        <v>560</v>
      </c>
      <c r="AG10" s="849" t="str">
        <f>AB10</f>
        <v>Przewidywane 
wykonanie 
w 2013 r.</v>
      </c>
      <c r="AH10" s="849" t="str">
        <f>AC10</f>
        <v>Plan wg. Ustawy Budżetowej zmieniony
za zgodą MF z dnia 
30  kwietnia 2014 r. oraz 
opinią KFP 
z dnia 7 maja 2014 r.</v>
      </c>
      <c r="AI10" s="849" t="str">
        <f>AD10</f>
        <v>Projekt planu 
na 2015 r.</v>
      </c>
      <c r="AJ10" s="849" t="str">
        <f>AE10</f>
        <v>Projekt planu 
na 2016 r.</v>
      </c>
      <c r="AK10" s="849" t="s">
        <v>560</v>
      </c>
      <c r="AL10" s="1131"/>
      <c r="AM10" s="839"/>
      <c r="AP10" s="848"/>
    </row>
    <row r="11" spans="1:43" s="854" customFormat="1" ht="18" customHeight="1" thickTop="1" thickBot="1" x14ac:dyDescent="0.3">
      <c r="A11" s="850" t="s">
        <v>561</v>
      </c>
      <c r="B11" s="984" t="s">
        <v>658</v>
      </c>
      <c r="C11" s="851">
        <f t="shared" ref="C11:AL11" si="0">IF((SUM(C12:C14)=0),"",SUM(C12:C14))</f>
        <v>198846</v>
      </c>
      <c r="D11" s="851">
        <f t="shared" si="0"/>
        <v>212085</v>
      </c>
      <c r="E11" s="851">
        <f t="shared" si="0"/>
        <v>244584</v>
      </c>
      <c r="F11" s="851">
        <f t="shared" si="0"/>
        <v>247097</v>
      </c>
      <c r="G11" s="851">
        <f t="shared" si="0"/>
        <v>255567</v>
      </c>
      <c r="H11" s="851">
        <f t="shared" si="0"/>
        <v>3383959</v>
      </c>
      <c r="I11" s="851">
        <f t="shared" si="0"/>
        <v>3405649</v>
      </c>
      <c r="J11" s="851">
        <f t="shared" si="0"/>
        <v>3203428</v>
      </c>
      <c r="K11" s="851">
        <f t="shared" si="0"/>
        <v>3238766</v>
      </c>
      <c r="L11" s="851">
        <f t="shared" si="0"/>
        <v>3274441</v>
      </c>
      <c r="M11" s="851">
        <f t="shared" si="0"/>
        <v>4563</v>
      </c>
      <c r="N11" s="851">
        <f t="shared" si="0"/>
        <v>5161</v>
      </c>
      <c r="O11" s="851">
        <f t="shared" si="0"/>
        <v>5252</v>
      </c>
      <c r="P11" s="851">
        <f t="shared" si="0"/>
        <v>5345</v>
      </c>
      <c r="Q11" s="851">
        <f t="shared" si="0"/>
        <v>5441</v>
      </c>
      <c r="R11" s="851">
        <f t="shared" si="0"/>
        <v>86848</v>
      </c>
      <c r="S11" s="851">
        <f t="shared" si="0"/>
        <v>118600</v>
      </c>
      <c r="T11" s="851">
        <f t="shared" si="0"/>
        <v>139380</v>
      </c>
      <c r="U11" s="851">
        <f t="shared" si="0"/>
        <v>139380</v>
      </c>
      <c r="V11" s="851">
        <f t="shared" si="0"/>
        <v>139380</v>
      </c>
      <c r="W11" s="851">
        <f t="shared" si="0"/>
        <v>2899</v>
      </c>
      <c r="X11" s="851">
        <f t="shared" si="0"/>
        <v>5300</v>
      </c>
      <c r="Y11" s="851">
        <f t="shared" si="0"/>
        <v>9600</v>
      </c>
      <c r="Z11" s="851">
        <f t="shared" si="0"/>
        <v>9600</v>
      </c>
      <c r="AA11" s="851">
        <f t="shared" si="0"/>
        <v>9600</v>
      </c>
      <c r="AB11" s="851">
        <f t="shared" si="0"/>
        <v>787474</v>
      </c>
      <c r="AC11" s="851">
        <f t="shared" si="0"/>
        <v>880400</v>
      </c>
      <c r="AD11" s="851">
        <f t="shared" si="0"/>
        <v>1020400</v>
      </c>
      <c r="AE11" s="851">
        <f t="shared" si="0"/>
        <v>1100400</v>
      </c>
      <c r="AF11" s="851">
        <f t="shared" si="0"/>
        <v>1200400</v>
      </c>
      <c r="AG11" s="851" t="e">
        <f t="shared" si="0"/>
        <v>#REF!</v>
      </c>
      <c r="AH11" s="851">
        <f t="shared" si="0"/>
        <v>4993040</v>
      </c>
      <c r="AI11" s="851">
        <f t="shared" si="0"/>
        <v>4966014</v>
      </c>
      <c r="AJ11" s="851">
        <f t="shared" si="0"/>
        <v>5062735</v>
      </c>
      <c r="AK11" s="851">
        <f t="shared" si="0"/>
        <v>5206064</v>
      </c>
      <c r="AL11" s="852" t="e">
        <f t="shared" si="0"/>
        <v>#VALUE!</v>
      </c>
      <c r="AM11" s="853"/>
      <c r="AP11" s="855"/>
    </row>
    <row r="12" spans="1:43" s="860" customFormat="1" ht="18" customHeight="1" thickTop="1" x14ac:dyDescent="0.25">
      <c r="A12" s="856"/>
      <c r="B12" s="857" t="s">
        <v>562</v>
      </c>
      <c r="C12" s="858">
        <f t="shared" ref="C12:L12" si="1">IF((SUM(C15,C18,C23,C27:C33,C37:C38,C52,C56,C59,C61)=0),"",SUM(C15,C18,C23,C27:C33,C37:C38,C52,C56,C59,C61))</f>
        <v>126500</v>
      </c>
      <c r="D12" s="858">
        <f t="shared" si="1"/>
        <v>140332</v>
      </c>
      <c r="E12" s="858">
        <f t="shared" si="1"/>
        <v>239397</v>
      </c>
      <c r="F12" s="858">
        <f t="shared" si="1"/>
        <v>247097</v>
      </c>
      <c r="G12" s="858">
        <f t="shared" si="1"/>
        <v>255567</v>
      </c>
      <c r="H12" s="858">
        <f t="shared" si="1"/>
        <v>3383959</v>
      </c>
      <c r="I12" s="858">
        <f t="shared" si="1"/>
        <v>3405649</v>
      </c>
      <c r="J12" s="858">
        <f t="shared" si="1"/>
        <v>3203428</v>
      </c>
      <c r="K12" s="858">
        <f t="shared" si="1"/>
        <v>3238766</v>
      </c>
      <c r="L12" s="858">
        <f t="shared" si="1"/>
        <v>3274441</v>
      </c>
      <c r="M12" s="858">
        <f>IF((SUM(M15,M18,M23,M27:M33,M36:M38,M52,M56,M59,M61)=0),"",SUM(M15,M18,M23,M27:M33,M36:M38,M52,M56,M59,M61))</f>
        <v>4563</v>
      </c>
      <c r="N12" s="858">
        <f>IF((SUM(N15,N18,N23,N27:N33,N36:N38,N52,N56,N59,N61)=0),"",SUM(N15,N18,N23,N27:N33,N36:N38,N52,N56,N59,N61))</f>
        <v>5161</v>
      </c>
      <c r="O12" s="858">
        <f>IF((SUM(O15,O18,O23,O27:O33,O36:O38,O52,O56,O59,O61)=0),"",SUM(O15,O18,O23,O27:O33,O36:O38,O52,O56,O59,O61))</f>
        <v>5252</v>
      </c>
      <c r="P12" s="858">
        <f>IF((SUM(P15,P18,P23,P27:P33,P36:P38,P52,P56,P59,P61)=0),"",SUM(P15,P18,P23,P27:P33,P36:P38,P52,P56,P59,P61))</f>
        <v>5345</v>
      </c>
      <c r="Q12" s="858">
        <f>IF((SUM(Q15,Q18,Q23,Q27:Q33,Q36:Q38,Q52,Q56,Q59,Q61)=0),"",SUM(Q15,Q18,Q23,Q27:Q33,Q36:Q38,Q52,Q56,Q59,Q61))</f>
        <v>5441</v>
      </c>
      <c r="R12" s="858">
        <f t="shared" ref="R12:AF12" si="2">IF((SUM(R15,R18,R23,R27:R33,R37:R38,R52,R56,R59,R61)=0),"",SUM(R15,R18,R23,R27:R33,R37:R38,R52,R56,R59,R61))</f>
        <v>86848</v>
      </c>
      <c r="S12" s="858">
        <f t="shared" si="2"/>
        <v>118600</v>
      </c>
      <c r="T12" s="858">
        <f t="shared" si="2"/>
        <v>139380</v>
      </c>
      <c r="U12" s="858">
        <f t="shared" si="2"/>
        <v>139380</v>
      </c>
      <c r="V12" s="858">
        <f t="shared" si="2"/>
        <v>139380</v>
      </c>
      <c r="W12" s="858">
        <f t="shared" si="2"/>
        <v>2899</v>
      </c>
      <c r="X12" s="858">
        <f t="shared" si="2"/>
        <v>5300</v>
      </c>
      <c r="Y12" s="858">
        <f t="shared" si="2"/>
        <v>9600</v>
      </c>
      <c r="Z12" s="858">
        <f t="shared" si="2"/>
        <v>9600</v>
      </c>
      <c r="AA12" s="858">
        <f t="shared" si="2"/>
        <v>9600</v>
      </c>
      <c r="AB12" s="858">
        <f t="shared" si="2"/>
        <v>787474</v>
      </c>
      <c r="AC12" s="858">
        <f t="shared" si="2"/>
        <v>880400</v>
      </c>
      <c r="AD12" s="858">
        <f t="shared" si="2"/>
        <v>1020400</v>
      </c>
      <c r="AE12" s="858">
        <f t="shared" si="2"/>
        <v>1100400</v>
      </c>
      <c r="AF12" s="858">
        <f t="shared" si="2"/>
        <v>1200400</v>
      </c>
      <c r="AG12" s="858" t="e">
        <f>IF((SUM(AG15,AG18,AG23,AG27:AG33,AG36:AG38,AG52,AG56,AG59,AG61)=0),"",SUM(AG15,AG18,AG23,AG27:AG33,AG36:AG38,AG52,AG56,AG59,AG61))</f>
        <v>#REF!</v>
      </c>
      <c r="AH12" s="858">
        <f>IF((SUM(AH15,AH18,AH23,AH27:AH33,AH36:AH38,AH52,AH56,AH59,AH61)=0),"",SUM(AH15,AH18,AH23,AH27:AH33,AH36:AH38,AH52,AH56,AH59,AH61))</f>
        <v>4921287</v>
      </c>
      <c r="AI12" s="858">
        <f>IF((SUM(AI15,AI18,AI23,AI27:AI33,AI36:AI38,AI52,AI56,AI59,AI61)=0),"",SUM(AI15,AI18,AI23,AI27:AI33,AI36:AI38,AI52,AI56,AI59,AI61))</f>
        <v>4960827</v>
      </c>
      <c r="AJ12" s="858">
        <f>IF((SUM(AJ15,AJ18,AJ23,AJ27:AJ33,AJ36:AJ38,AJ52,AJ56,AJ59,AJ61)=0),"",SUM(AJ15,AJ18,AJ23,AJ27:AJ33,AJ36:AJ38,AJ52,AJ56,AJ59,AJ61))</f>
        <v>5062735</v>
      </c>
      <c r="AK12" s="858">
        <f>IF((SUM(AK15,AK18,AK23,AK27:AK33,AK36:AK38,AK52,AK56,AK59,AK61)=0),"",SUM(AK15,AK18,AK23,AK27:AK33,AK36:AK38,AK52,AK56,AK59,AK61))</f>
        <v>5206064</v>
      </c>
      <c r="AL12" s="858" t="e">
        <f>IF((SUM(AL15,AL18,AL23,AL27:AL33,AL37:AL38,AL52,AL56,AL59,AL61)=0),"",SUM(AL15,AL18,AL23,AL27:AL33,AL37:AL38,AL52,AL56,AL59,AL61))</f>
        <v>#VALUE!</v>
      </c>
      <c r="AM12" s="859"/>
      <c r="AP12" s="861"/>
    </row>
    <row r="13" spans="1:43" s="860" customFormat="1" ht="18" customHeight="1" x14ac:dyDescent="0.25">
      <c r="A13" s="862"/>
      <c r="B13" s="863" t="s">
        <v>563</v>
      </c>
      <c r="C13" s="864">
        <f t="shared" ref="C13:AL13" si="3">IF((SUM(C25,C53,C57,C62)=0),"",SUM(C25,C53,C57,C62))</f>
        <v>61494</v>
      </c>
      <c r="D13" s="864">
        <f t="shared" si="3"/>
        <v>60990</v>
      </c>
      <c r="E13" s="864">
        <f t="shared" si="3"/>
        <v>4409</v>
      </c>
      <c r="F13" s="864" t="str">
        <f t="shared" si="3"/>
        <v/>
      </c>
      <c r="G13" s="864" t="str">
        <f t="shared" si="3"/>
        <v/>
      </c>
      <c r="H13" s="864" t="str">
        <f t="shared" si="3"/>
        <v/>
      </c>
      <c r="I13" s="864" t="str">
        <f t="shared" si="3"/>
        <v/>
      </c>
      <c r="J13" s="864" t="str">
        <f t="shared" si="3"/>
        <v/>
      </c>
      <c r="K13" s="864" t="str">
        <f t="shared" si="3"/>
        <v/>
      </c>
      <c r="L13" s="864" t="str">
        <f t="shared" si="3"/>
        <v/>
      </c>
      <c r="M13" s="864" t="str">
        <f t="shared" si="3"/>
        <v/>
      </c>
      <c r="N13" s="864" t="str">
        <f t="shared" si="3"/>
        <v/>
      </c>
      <c r="O13" s="864" t="str">
        <f t="shared" si="3"/>
        <v/>
      </c>
      <c r="P13" s="864" t="str">
        <f t="shared" si="3"/>
        <v/>
      </c>
      <c r="Q13" s="864" t="str">
        <f t="shared" si="3"/>
        <v/>
      </c>
      <c r="R13" s="864" t="str">
        <f t="shared" si="3"/>
        <v/>
      </c>
      <c r="S13" s="864" t="str">
        <f t="shared" si="3"/>
        <v/>
      </c>
      <c r="T13" s="864" t="str">
        <f t="shared" si="3"/>
        <v/>
      </c>
      <c r="U13" s="864" t="str">
        <f t="shared" si="3"/>
        <v/>
      </c>
      <c r="V13" s="864" t="str">
        <f t="shared" si="3"/>
        <v/>
      </c>
      <c r="W13" s="864" t="str">
        <f t="shared" si="3"/>
        <v/>
      </c>
      <c r="X13" s="864" t="str">
        <f t="shared" si="3"/>
        <v/>
      </c>
      <c r="Y13" s="864" t="str">
        <f t="shared" si="3"/>
        <v/>
      </c>
      <c r="Z13" s="864" t="str">
        <f t="shared" si="3"/>
        <v/>
      </c>
      <c r="AA13" s="864" t="str">
        <f t="shared" si="3"/>
        <v/>
      </c>
      <c r="AB13" s="864" t="str">
        <f t="shared" si="3"/>
        <v/>
      </c>
      <c r="AC13" s="864" t="str">
        <f t="shared" si="3"/>
        <v/>
      </c>
      <c r="AD13" s="864" t="str">
        <f t="shared" si="3"/>
        <v/>
      </c>
      <c r="AE13" s="864" t="str">
        <f t="shared" si="3"/>
        <v/>
      </c>
      <c r="AF13" s="864" t="str">
        <f t="shared" si="3"/>
        <v/>
      </c>
      <c r="AG13" s="864">
        <f t="shared" si="3"/>
        <v>61494</v>
      </c>
      <c r="AH13" s="864">
        <f t="shared" si="3"/>
        <v>60990</v>
      </c>
      <c r="AI13" s="864">
        <f t="shared" si="3"/>
        <v>4409</v>
      </c>
      <c r="AJ13" s="864" t="str">
        <f t="shared" si="3"/>
        <v/>
      </c>
      <c r="AK13" s="864" t="str">
        <f t="shared" si="3"/>
        <v/>
      </c>
      <c r="AL13" s="865" t="e">
        <f t="shared" si="3"/>
        <v>#VALUE!</v>
      </c>
      <c r="AM13" s="859"/>
      <c r="AP13" s="861"/>
    </row>
    <row r="14" spans="1:43" s="860" customFormat="1" ht="18" customHeight="1" x14ac:dyDescent="0.25">
      <c r="A14" s="866"/>
      <c r="B14" s="867" t="s">
        <v>564</v>
      </c>
      <c r="C14" s="868">
        <f t="shared" ref="C14:AL14" si="4">IF((SUM(C26,C54,C58,C63)=0),"",SUM(C26,C54,C58,C63))</f>
        <v>10852</v>
      </c>
      <c r="D14" s="868">
        <f t="shared" si="4"/>
        <v>10763</v>
      </c>
      <c r="E14" s="868">
        <f t="shared" si="4"/>
        <v>778</v>
      </c>
      <c r="F14" s="868" t="str">
        <f t="shared" si="4"/>
        <v/>
      </c>
      <c r="G14" s="868" t="str">
        <f t="shared" si="4"/>
        <v/>
      </c>
      <c r="H14" s="868" t="str">
        <f t="shared" si="4"/>
        <v/>
      </c>
      <c r="I14" s="868" t="str">
        <f t="shared" si="4"/>
        <v/>
      </c>
      <c r="J14" s="868" t="str">
        <f t="shared" si="4"/>
        <v/>
      </c>
      <c r="K14" s="868" t="str">
        <f t="shared" si="4"/>
        <v/>
      </c>
      <c r="L14" s="868" t="str">
        <f t="shared" si="4"/>
        <v/>
      </c>
      <c r="M14" s="868" t="str">
        <f t="shared" si="4"/>
        <v/>
      </c>
      <c r="N14" s="868" t="str">
        <f t="shared" si="4"/>
        <v/>
      </c>
      <c r="O14" s="868" t="str">
        <f t="shared" si="4"/>
        <v/>
      </c>
      <c r="P14" s="868" t="str">
        <f t="shared" si="4"/>
        <v/>
      </c>
      <c r="Q14" s="868" t="str">
        <f t="shared" si="4"/>
        <v/>
      </c>
      <c r="R14" s="868" t="str">
        <f t="shared" si="4"/>
        <v/>
      </c>
      <c r="S14" s="868" t="str">
        <f t="shared" si="4"/>
        <v/>
      </c>
      <c r="T14" s="868" t="str">
        <f t="shared" si="4"/>
        <v/>
      </c>
      <c r="U14" s="868" t="str">
        <f t="shared" si="4"/>
        <v/>
      </c>
      <c r="V14" s="868" t="str">
        <f t="shared" si="4"/>
        <v/>
      </c>
      <c r="W14" s="868" t="str">
        <f t="shared" si="4"/>
        <v/>
      </c>
      <c r="X14" s="868" t="str">
        <f t="shared" si="4"/>
        <v/>
      </c>
      <c r="Y14" s="868" t="str">
        <f t="shared" si="4"/>
        <v/>
      </c>
      <c r="Z14" s="868" t="str">
        <f t="shared" si="4"/>
        <v/>
      </c>
      <c r="AA14" s="868" t="str">
        <f t="shared" si="4"/>
        <v/>
      </c>
      <c r="AB14" s="868" t="str">
        <f t="shared" si="4"/>
        <v/>
      </c>
      <c r="AC14" s="868" t="str">
        <f t="shared" si="4"/>
        <v/>
      </c>
      <c r="AD14" s="868" t="str">
        <f t="shared" si="4"/>
        <v/>
      </c>
      <c r="AE14" s="868" t="str">
        <f t="shared" si="4"/>
        <v/>
      </c>
      <c r="AF14" s="868" t="str">
        <f t="shared" si="4"/>
        <v/>
      </c>
      <c r="AG14" s="868">
        <f t="shared" si="4"/>
        <v>10852</v>
      </c>
      <c r="AH14" s="868">
        <f t="shared" si="4"/>
        <v>10763</v>
      </c>
      <c r="AI14" s="868">
        <f t="shared" si="4"/>
        <v>778</v>
      </c>
      <c r="AJ14" s="868" t="str">
        <f t="shared" si="4"/>
        <v/>
      </c>
      <c r="AK14" s="868" t="str">
        <f t="shared" si="4"/>
        <v/>
      </c>
      <c r="AL14" s="869" t="e">
        <f t="shared" si="4"/>
        <v>#VALUE!</v>
      </c>
      <c r="AM14" s="859"/>
      <c r="AP14" s="861"/>
    </row>
    <row r="15" spans="1:43" s="854" customFormat="1" ht="18" customHeight="1" x14ac:dyDescent="0.25">
      <c r="A15" s="870" t="s">
        <v>565</v>
      </c>
      <c r="B15" s="871" t="s">
        <v>566</v>
      </c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>
        <f t="shared" ref="AB15:AK15" si="5">IF((SUM(AB16:AB17)=0),"",SUM(AB16:AB17))</f>
        <v>122590</v>
      </c>
      <c r="AC15" s="872">
        <f t="shared" si="5"/>
        <v>150000</v>
      </c>
      <c r="AD15" s="872">
        <f t="shared" si="5"/>
        <v>150000</v>
      </c>
      <c r="AE15" s="872">
        <f t="shared" si="5"/>
        <v>150000</v>
      </c>
      <c r="AF15" s="872">
        <f t="shared" si="5"/>
        <v>150000</v>
      </c>
      <c r="AG15" s="872">
        <f t="shared" si="5"/>
        <v>122590</v>
      </c>
      <c r="AH15" s="872">
        <f t="shared" si="5"/>
        <v>150000</v>
      </c>
      <c r="AI15" s="872">
        <f t="shared" si="5"/>
        <v>150000</v>
      </c>
      <c r="AJ15" s="872">
        <f t="shared" si="5"/>
        <v>150000</v>
      </c>
      <c r="AK15" s="872">
        <f t="shared" si="5"/>
        <v>150000</v>
      </c>
      <c r="AL15" s="873" t="e">
        <f>IF((SUM(AL16:AL17)=0),"",(SUM(AL16:AL17)))</f>
        <v>#VALUE!</v>
      </c>
      <c r="AM15" s="853" t="str">
        <f>IF((SUM(AM16:AM17)=0),"",(SUM(AM16:AM17)))</f>
        <v/>
      </c>
      <c r="AN15" s="874" t="str">
        <f>IF((SUM(AN16:AN17)=0),"",(SUM(AN16:AN17)))</f>
        <v/>
      </c>
      <c r="AO15" s="855" t="str">
        <f>IF((SUM(AO16:AO17)=0),"",(SUM(AO16:AO17)))</f>
        <v/>
      </c>
      <c r="AP15" s="855"/>
      <c r="AQ15" s="855"/>
    </row>
    <row r="16" spans="1:43" s="880" customFormat="1" ht="18" customHeight="1" x14ac:dyDescent="0.25">
      <c r="A16" s="875"/>
      <c r="B16" s="876" t="s">
        <v>567</v>
      </c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877"/>
      <c r="Z16" s="877"/>
      <c r="AA16" s="877"/>
      <c r="AB16" s="877">
        <f>IF(('Pl 2014-17 PFC'!D283=0),"",'Pl 2014-17 PFC'!D283)</f>
        <v>119600</v>
      </c>
      <c r="AC16" s="877">
        <f>IF(('Pl 2014-17 PFC'!E283=0),"",'Pl 2014-17 PFC'!E283)</f>
        <v>146341</v>
      </c>
      <c r="AD16" s="877">
        <f>IF(('Pl 2014-17 PFC'!F283=0),"",'Pl 2014-17 PFC'!F283)</f>
        <v>146341</v>
      </c>
      <c r="AE16" s="877">
        <f>IF(('Pl 2014-17 PFC'!G283=0),"",'Pl 2014-17 PFC'!G283)</f>
        <v>146341</v>
      </c>
      <c r="AF16" s="877">
        <f>IF(('Pl 2014-17 PFC'!H283=0),"",'Pl 2014-17 PFC'!H283)</f>
        <v>146341</v>
      </c>
      <c r="AG16" s="877">
        <f t="shared" ref="AG16:AK17" si="6">IF((SUM(C16,H16,M16,R16,W16,AB16)=0),"",(SUM(C16,H16,M16,R16,W16,AB16)))</f>
        <v>119600</v>
      </c>
      <c r="AH16" s="877">
        <f t="shared" si="6"/>
        <v>146341</v>
      </c>
      <c r="AI16" s="877">
        <f t="shared" si="6"/>
        <v>146341</v>
      </c>
      <c r="AJ16" s="877">
        <f t="shared" si="6"/>
        <v>146341</v>
      </c>
      <c r="AK16" s="877">
        <f t="shared" si="6"/>
        <v>146341</v>
      </c>
      <c r="AL16" s="878" t="e">
        <f>"$#ODWOŁANIE$#ODWOŁANIE"/"$#ODWOŁANIE$#ODWOŁANIE"%</f>
        <v>#VALUE!</v>
      </c>
      <c r="AM16" s="853"/>
      <c r="AN16" s="879"/>
      <c r="AO16" s="853"/>
      <c r="AP16" s="853"/>
      <c r="AQ16" s="853"/>
    </row>
    <row r="17" spans="1:43" s="880" customFormat="1" ht="18" customHeight="1" x14ac:dyDescent="0.25">
      <c r="A17" s="881"/>
      <c r="B17" s="882" t="s">
        <v>568</v>
      </c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>
        <f>IF(('Pl 2014-17 PFC'!D285=0),"",'Pl 2014-17 PFC'!D285)</f>
        <v>2990</v>
      </c>
      <c r="AC17" s="883">
        <f>IF(('Pl 2014-17 PFC'!E285=0),"",'Pl 2014-17 PFC'!E285)</f>
        <v>3659</v>
      </c>
      <c r="AD17" s="883">
        <f>IF(('Pl 2014-17 PFC'!F285=0),"",'Pl 2014-17 PFC'!F285)</f>
        <v>3659</v>
      </c>
      <c r="AE17" s="883">
        <f>IF(('Pl 2014-17 PFC'!G285=0),"",'Pl 2014-17 PFC'!G285)</f>
        <v>3659</v>
      </c>
      <c r="AF17" s="883">
        <f>IF(('Pl 2014-17 PFC'!H285=0),"",'Pl 2014-17 PFC'!H285)</f>
        <v>3659</v>
      </c>
      <c r="AG17" s="883">
        <f t="shared" si="6"/>
        <v>2990</v>
      </c>
      <c r="AH17" s="883">
        <f t="shared" si="6"/>
        <v>3659</v>
      </c>
      <c r="AI17" s="883">
        <f t="shared" si="6"/>
        <v>3659</v>
      </c>
      <c r="AJ17" s="883">
        <f t="shared" si="6"/>
        <v>3659</v>
      </c>
      <c r="AK17" s="883">
        <f t="shared" si="6"/>
        <v>3659</v>
      </c>
      <c r="AL17" s="878" t="e">
        <f>"$#ODWOŁANIE$#ODWOŁANIE"/"$#ODWOŁANIE$#ODWOŁANIE"%</f>
        <v>#VALUE!</v>
      </c>
      <c r="AM17" s="853"/>
      <c r="AN17" s="879"/>
      <c r="AO17" s="853"/>
      <c r="AP17" s="853"/>
      <c r="AQ17" s="853"/>
    </row>
    <row r="18" spans="1:43" s="854" customFormat="1" ht="18" customHeight="1" x14ac:dyDescent="0.25">
      <c r="A18" s="884" t="s">
        <v>569</v>
      </c>
      <c r="B18" s="885" t="s">
        <v>570</v>
      </c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>
        <f t="shared" ref="AB18:AK18" si="7">IF((SUM(AB19:AB20)=0),"",SUM(AB19:AB20))</f>
        <v>664884</v>
      </c>
      <c r="AC18" s="886">
        <f t="shared" si="7"/>
        <v>730400</v>
      </c>
      <c r="AD18" s="886">
        <f t="shared" si="7"/>
        <v>870400</v>
      </c>
      <c r="AE18" s="886">
        <f t="shared" si="7"/>
        <v>950400</v>
      </c>
      <c r="AF18" s="886">
        <f t="shared" si="7"/>
        <v>1050400</v>
      </c>
      <c r="AG18" s="886">
        <f t="shared" si="7"/>
        <v>664884</v>
      </c>
      <c r="AH18" s="886">
        <f t="shared" si="7"/>
        <v>730400</v>
      </c>
      <c r="AI18" s="886">
        <f t="shared" si="7"/>
        <v>870400</v>
      </c>
      <c r="AJ18" s="886">
        <f t="shared" si="7"/>
        <v>950400</v>
      </c>
      <c r="AK18" s="886">
        <f t="shared" si="7"/>
        <v>1050400</v>
      </c>
      <c r="AL18" s="887" t="e">
        <f>IF((SUM(AL19:AL20)=0),"",(SUM(AL19:AL20)))</f>
        <v>#VALUE!</v>
      </c>
      <c r="AM18" s="853"/>
      <c r="AN18" s="874"/>
      <c r="AO18" s="874"/>
      <c r="AP18" s="855"/>
      <c r="AQ18" s="855"/>
    </row>
    <row r="19" spans="1:43" s="880" customFormat="1" ht="18" customHeight="1" x14ac:dyDescent="0.25">
      <c r="A19" s="875"/>
      <c r="B19" s="876" t="s">
        <v>567</v>
      </c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>
        <f>IF(('Pl 2014-17 PFC'!D287=0),"",'Pl 2014-17 PFC'!D287)</f>
        <v>648667</v>
      </c>
      <c r="AC19" s="877">
        <f>IF(('Pl 2014-17 PFC'!E287=0),"",'Pl 2014-17 PFC'!E287)</f>
        <v>712586</v>
      </c>
      <c r="AD19" s="877">
        <f>IF(('Pl 2014-17 PFC'!F287=0),"",'Pl 2014-17 PFC'!F287)</f>
        <v>849170</v>
      </c>
      <c r="AE19" s="877">
        <f>IF(('Pl 2014-17 PFC'!G287=0),"",'Pl 2014-17 PFC'!G287)</f>
        <v>927220</v>
      </c>
      <c r="AF19" s="877">
        <f>IF(('Pl 2014-17 PFC'!H287=0),"",'Pl 2014-17 PFC'!H287)</f>
        <v>1024780</v>
      </c>
      <c r="AG19" s="877">
        <f t="shared" ref="AG19:AK20" si="8">IF((SUM(C19,H19,M19,R19,W19,AB19)=0),"",(SUM(C19,H19,M19,R19,W19,AB19)))</f>
        <v>648667</v>
      </c>
      <c r="AH19" s="877">
        <f t="shared" si="8"/>
        <v>712586</v>
      </c>
      <c r="AI19" s="877">
        <f t="shared" si="8"/>
        <v>849170</v>
      </c>
      <c r="AJ19" s="877">
        <f t="shared" si="8"/>
        <v>927220</v>
      </c>
      <c r="AK19" s="877">
        <f t="shared" si="8"/>
        <v>1024780</v>
      </c>
      <c r="AL19" s="878" t="e">
        <f>"$#ODWOŁANIE$#ODWOŁANIE"/"$#ODWOŁANIE$#ODWOŁANIE"%</f>
        <v>#VALUE!</v>
      </c>
      <c r="AM19" s="853"/>
      <c r="AN19" s="879"/>
      <c r="AO19" s="879"/>
      <c r="AP19" s="853"/>
      <c r="AQ19" s="853"/>
    </row>
    <row r="20" spans="1:43" s="880" customFormat="1" ht="18" customHeight="1" x14ac:dyDescent="0.25">
      <c r="A20" s="881"/>
      <c r="B20" s="882" t="s">
        <v>568</v>
      </c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3">
        <f>IF(('Pl 2014-17 PFC'!D289=0),"",'Pl 2014-17 PFC'!D289)</f>
        <v>16217</v>
      </c>
      <c r="AC20" s="883">
        <f>IF(('Pl 2014-17 PFC'!E289=0),"",'Pl 2014-17 PFC'!E289)</f>
        <v>17814</v>
      </c>
      <c r="AD20" s="883">
        <f>IF(('Pl 2014-17 PFC'!F289=0),"",'Pl 2014-17 PFC'!F289)</f>
        <v>21230</v>
      </c>
      <c r="AE20" s="883">
        <f>IF(('Pl 2014-17 PFC'!G289=0),"",'Pl 2014-17 PFC'!G289)</f>
        <v>23180</v>
      </c>
      <c r="AF20" s="883">
        <f>IF(('Pl 2014-17 PFC'!H289=0),"",'Pl 2014-17 PFC'!H289)</f>
        <v>25620</v>
      </c>
      <c r="AG20" s="883">
        <f t="shared" si="8"/>
        <v>16217</v>
      </c>
      <c r="AH20" s="883">
        <f t="shared" si="8"/>
        <v>17814</v>
      </c>
      <c r="AI20" s="883">
        <f t="shared" si="8"/>
        <v>21230</v>
      </c>
      <c r="AJ20" s="883">
        <f t="shared" si="8"/>
        <v>23180</v>
      </c>
      <c r="AK20" s="883">
        <f t="shared" si="8"/>
        <v>25620</v>
      </c>
      <c r="AL20" s="878" t="e">
        <f>"$#ODWOŁANIE$#ODWOŁANIE"/"$#ODWOŁANIE$#ODWOŁANIE"%</f>
        <v>#VALUE!</v>
      </c>
      <c r="AM20" s="853"/>
      <c r="AN20" s="879"/>
      <c r="AO20" s="879"/>
      <c r="AP20" s="853"/>
      <c r="AQ20" s="853"/>
    </row>
    <row r="21" spans="1:43" s="854" customFormat="1" ht="18" customHeight="1" x14ac:dyDescent="0.25">
      <c r="A21" s="884" t="s">
        <v>571</v>
      </c>
      <c r="B21" s="885" t="s">
        <v>572</v>
      </c>
      <c r="C21" s="886">
        <f t="shared" ref="C21:AK21" si="9">IF((SUM(C22,C38)=0),"",SUM(C22,C38))</f>
        <v>198846</v>
      </c>
      <c r="D21" s="886">
        <f t="shared" si="9"/>
        <v>212085</v>
      </c>
      <c r="E21" s="886">
        <f t="shared" si="9"/>
        <v>244584</v>
      </c>
      <c r="F21" s="886">
        <f t="shared" si="9"/>
        <v>247097</v>
      </c>
      <c r="G21" s="886">
        <f t="shared" si="9"/>
        <v>255567</v>
      </c>
      <c r="H21" s="886">
        <f t="shared" si="9"/>
        <v>3383959</v>
      </c>
      <c r="I21" s="886">
        <f t="shared" si="9"/>
        <v>3405649</v>
      </c>
      <c r="J21" s="886">
        <f t="shared" si="9"/>
        <v>3203428</v>
      </c>
      <c r="K21" s="886">
        <f t="shared" si="9"/>
        <v>3238766</v>
      </c>
      <c r="L21" s="886">
        <f t="shared" si="9"/>
        <v>3274441</v>
      </c>
      <c r="M21" s="886">
        <f t="shared" si="9"/>
        <v>987</v>
      </c>
      <c r="N21" s="886">
        <f t="shared" si="9"/>
        <v>1500</v>
      </c>
      <c r="O21" s="886">
        <f t="shared" si="9"/>
        <v>1500</v>
      </c>
      <c r="P21" s="886">
        <f t="shared" si="9"/>
        <v>1500</v>
      </c>
      <c r="Q21" s="886">
        <f t="shared" si="9"/>
        <v>1500</v>
      </c>
      <c r="R21" s="886">
        <f t="shared" si="9"/>
        <v>86848</v>
      </c>
      <c r="S21" s="886">
        <f t="shared" si="9"/>
        <v>118600</v>
      </c>
      <c r="T21" s="886">
        <f t="shared" si="9"/>
        <v>139380</v>
      </c>
      <c r="U21" s="886">
        <f t="shared" si="9"/>
        <v>139380</v>
      </c>
      <c r="V21" s="886">
        <f t="shared" si="9"/>
        <v>139380</v>
      </c>
      <c r="W21" s="886">
        <f t="shared" si="9"/>
        <v>2899</v>
      </c>
      <c r="X21" s="886">
        <f t="shared" si="9"/>
        <v>5300</v>
      </c>
      <c r="Y21" s="886">
        <f t="shared" si="9"/>
        <v>9600</v>
      </c>
      <c r="Z21" s="886">
        <f t="shared" si="9"/>
        <v>9600</v>
      </c>
      <c r="AA21" s="886">
        <f t="shared" si="9"/>
        <v>9600</v>
      </c>
      <c r="AB21" s="886" t="str">
        <f t="shared" si="9"/>
        <v/>
      </c>
      <c r="AC21" s="886" t="str">
        <f t="shared" si="9"/>
        <v/>
      </c>
      <c r="AD21" s="886" t="str">
        <f t="shared" si="9"/>
        <v/>
      </c>
      <c r="AE21" s="886" t="str">
        <f t="shared" si="9"/>
        <v/>
      </c>
      <c r="AF21" s="886" t="str">
        <f t="shared" si="9"/>
        <v/>
      </c>
      <c r="AG21" s="886">
        <f t="shared" si="9"/>
        <v>3673539</v>
      </c>
      <c r="AH21" s="886">
        <f t="shared" si="9"/>
        <v>3743134</v>
      </c>
      <c r="AI21" s="886">
        <f t="shared" si="9"/>
        <v>3598492</v>
      </c>
      <c r="AJ21" s="886">
        <f t="shared" si="9"/>
        <v>3636343</v>
      </c>
      <c r="AK21" s="886">
        <f t="shared" si="9"/>
        <v>3680488</v>
      </c>
      <c r="AL21" s="873" t="e">
        <f>IF((SUM(AL22,AL38,"$#ODWOŁANIE$#ODWOŁANIE")=0),"",SUM(AL22,AL38,"$#ODWOŁANIE$#ODWOŁANIE"))</f>
        <v>#VALUE!</v>
      </c>
      <c r="AM21" s="853"/>
      <c r="AN21" s="874"/>
      <c r="AO21" s="874"/>
      <c r="AP21" s="874"/>
      <c r="AQ21" s="874"/>
    </row>
    <row r="22" spans="1:43" s="892" customFormat="1" ht="18" customHeight="1" x14ac:dyDescent="0.25">
      <c r="A22" s="888" t="s">
        <v>573</v>
      </c>
      <c r="B22" s="889" t="s">
        <v>574</v>
      </c>
      <c r="C22" s="886">
        <f t="shared" ref="C22:L22" si="10">IF((SUM(C23,C24,C27:C33,C37:C37)=0),"",SUM(C23,C24,C27:C33,C37:C37))</f>
        <v>125046</v>
      </c>
      <c r="D22" s="886">
        <f t="shared" si="10"/>
        <v>130408</v>
      </c>
      <c r="E22" s="886">
        <f t="shared" si="10"/>
        <v>66987</v>
      </c>
      <c r="F22" s="886">
        <f t="shared" si="10"/>
        <v>61800</v>
      </c>
      <c r="G22" s="886">
        <f t="shared" si="10"/>
        <v>61800</v>
      </c>
      <c r="H22" s="886">
        <f t="shared" si="10"/>
        <v>3383875</v>
      </c>
      <c r="I22" s="886">
        <f t="shared" si="10"/>
        <v>3405449</v>
      </c>
      <c r="J22" s="886">
        <f t="shared" si="10"/>
        <v>3203228</v>
      </c>
      <c r="K22" s="886">
        <f t="shared" si="10"/>
        <v>3238566</v>
      </c>
      <c r="L22" s="886">
        <f t="shared" si="10"/>
        <v>3274241</v>
      </c>
      <c r="M22" s="886">
        <f>IF((SUM(M23,M24,M27:M33,M36,M37:M37)=0),"",SUM(M23,M24,M36,M27:M33,M37:M37))</f>
        <v>950</v>
      </c>
      <c r="N22" s="886">
        <f>IF((SUM(N23,N24,N27:N33,N36,N37:N37)=0),"",SUM(N23,N24,N36,N27:N33,N37:N37))</f>
        <v>1500</v>
      </c>
      <c r="O22" s="886">
        <f>IF((SUM(O23,O24,O27:O33,O36,O37:O37)=0),"",SUM(O23,O24,O36,O27:O33,O37:O37))</f>
        <v>1500</v>
      </c>
      <c r="P22" s="886">
        <f>IF((SUM(P23,P24,P27:P33,P36,P37:P37)=0),"",SUM(P23,P24,P36,P27:P33,P37:P37))</f>
        <v>1500</v>
      </c>
      <c r="Q22" s="886">
        <f>IF((SUM(Q23,Q24,Q27:Q33,Q36,Q37:Q37)=0),"",SUM(Q23,Q24,Q36,Q27:Q33,Q37:Q37))</f>
        <v>1500</v>
      </c>
      <c r="R22" s="886">
        <f t="shared" ref="R22:AF22" si="11">IF((SUM(R23,R24,R27:R33,R37:R37)=0),"",SUM(R23,R24,R27:R33,R37:R37))</f>
        <v>45284</v>
      </c>
      <c r="S22" s="886">
        <f t="shared" si="11"/>
        <v>58600</v>
      </c>
      <c r="T22" s="886">
        <f t="shared" si="11"/>
        <v>68800</v>
      </c>
      <c r="U22" s="886">
        <f t="shared" si="11"/>
        <v>68800</v>
      </c>
      <c r="V22" s="886">
        <f t="shared" si="11"/>
        <v>68800</v>
      </c>
      <c r="W22" s="886">
        <f t="shared" si="11"/>
        <v>2899</v>
      </c>
      <c r="X22" s="886">
        <f t="shared" si="11"/>
        <v>5300</v>
      </c>
      <c r="Y22" s="886">
        <f t="shared" si="11"/>
        <v>9600</v>
      </c>
      <c r="Z22" s="886">
        <f t="shared" si="11"/>
        <v>9600</v>
      </c>
      <c r="AA22" s="886">
        <f t="shared" si="11"/>
        <v>9600</v>
      </c>
      <c r="AB22" s="886" t="str">
        <f t="shared" si="11"/>
        <v/>
      </c>
      <c r="AC22" s="886" t="str">
        <f t="shared" si="11"/>
        <v/>
      </c>
      <c r="AD22" s="886" t="str">
        <f t="shared" si="11"/>
        <v/>
      </c>
      <c r="AE22" s="886" t="str">
        <f t="shared" si="11"/>
        <v/>
      </c>
      <c r="AF22" s="886" t="str">
        <f t="shared" si="11"/>
        <v/>
      </c>
      <c r="AG22" s="886">
        <f>IF((SUM(AG23,AG24,AG27:AG33,AG36:AG37)=0),"",SUM(AG23,AG24,AG27:AG33,AG36:AG37))</f>
        <v>3558054</v>
      </c>
      <c r="AH22" s="886">
        <f>IF((SUM(AH23,AH24,AH27:AH33,AH36:AH37)=0),"",SUM(AH23,AH24,AH27:AH33,AH36:AH37))</f>
        <v>3601257</v>
      </c>
      <c r="AI22" s="886">
        <f>IF((SUM(AI23,AI24,AI27:AI33,AI36:AI37)=0),"",SUM(AI23,AI24,AI27:AI33,AI36:AI37))</f>
        <v>3350115</v>
      </c>
      <c r="AJ22" s="886">
        <f>IF((SUM(AJ23,AJ24,AJ27:AJ33,AJ36:AJ37)=0),"",SUM(AJ23,AJ24,AJ27:AJ33,AJ36:AJ37))</f>
        <v>3380266</v>
      </c>
      <c r="AK22" s="886">
        <f>IF((SUM(AK23,AK24,AK27:AK33,AK36:AK37)=0),"",SUM(AK23,AK24,AK27:AK33,AK36:AK37))</f>
        <v>3415941</v>
      </c>
      <c r="AL22" s="873" t="e">
        <f>IF((SUM(AL23,AL24,"$#ODWOŁANIE$#ODWOŁANIE",AL27:AL33,AL37:AL37)=0),"",SUM(AL23,AL24,"$#ODWOŁANIE$#ODWOŁANIE",AL27:AL33,AL37:AL37))</f>
        <v>#VALUE!</v>
      </c>
      <c r="AM22" s="890" t="e">
        <f>IF((SUM(AM23,AM24,"$#ODWOŁANIE$#ODWOŁANIE",AM27:AM33,AM37:AM37)=0),"",SUM(AM23,AM24,"$#ODWOŁANIE$#ODWOŁANIE",AM27:AM33,AM37:AM37))</f>
        <v>#VALUE!</v>
      </c>
      <c r="AN22" s="891" t="e">
        <f>IF((SUM(AN23,AN24,"$#ODWOŁANIE$#ODWOŁANIE",AN27:AN33,AN37:AN37)=0),"",SUM(AN23,AN24,"$#ODWOŁANIE$#ODWOŁANIE",AN27:AN33,AN37:AN37))</f>
        <v>#VALUE!</v>
      </c>
      <c r="AO22" s="891" t="e">
        <f>IF((SUM(AO23,AO24,"$#ODWOŁANIE$#ODWOŁANIE",AO27:AO33,AO37:AO37)=0),"",SUM(AO23,AO24,"$#ODWOŁANIE$#ODWOŁANIE",AO27:AO33,AO37:AO37))</f>
        <v>#VALUE!</v>
      </c>
      <c r="AP22" s="891"/>
      <c r="AQ22" s="891"/>
    </row>
    <row r="23" spans="1:43" ht="15.75" customHeight="1" x14ac:dyDescent="0.25">
      <c r="A23" s="893" t="s">
        <v>575</v>
      </c>
      <c r="B23" s="894" t="s">
        <v>576</v>
      </c>
      <c r="C23" s="895">
        <f>IF(('Pl 2014-17 PFC'!D117=0),"",'Pl 2014-17 PFC'!D117)</f>
        <v>1300</v>
      </c>
      <c r="D23" s="895">
        <f>IF(('Pl 2014-17 PFC'!E117=0),"",'Pl 2014-17 PFC'!E117)</f>
        <v>1355</v>
      </c>
      <c r="E23" s="895">
        <f>IF(('Pl 2014-17 PFC'!F117=0),"",'Pl 2014-17 PFC'!F117)</f>
        <v>4500</v>
      </c>
      <c r="F23" s="895">
        <f>IF(('Pl 2014-17 PFC'!G117=0),"",'Pl 2014-17 PFC'!G117)</f>
        <v>4500</v>
      </c>
      <c r="G23" s="895">
        <f>IF(('Pl 2014-17 PFC'!H117=0),"",'Pl 2014-17 PFC'!H117)</f>
        <v>4500</v>
      </c>
      <c r="H23" s="895">
        <f>IF(('Pl 2014-17 PFC'!D150=0),"",'Pl 2014-17 PFC'!D150)</f>
        <v>500</v>
      </c>
      <c r="I23" s="895">
        <f>IF(('Pl 2014-17 PFC'!E150=0),"",'Pl 2014-17 PFC'!E150)</f>
        <v>145</v>
      </c>
      <c r="J23" s="895">
        <f>IF(('Pl 2014-17 PFC'!F150=0),"",'Pl 2014-17 PFC'!F150)</f>
        <v>2400</v>
      </c>
      <c r="K23" s="895">
        <f>IF(('Pl 2014-17 PFC'!G150=0),"",'Pl 2014-17 PFC'!G150)</f>
        <v>2400</v>
      </c>
      <c r="L23" s="895">
        <f>IF(('Pl 2014-17 PFC'!H150=0),"",'Pl 2014-17 PFC'!H150)</f>
        <v>2400</v>
      </c>
      <c r="M23" s="895"/>
      <c r="N23" s="895" t="str">
        <f>IF(('Pl 2014-17 PFC'!P117=0),"",'Pl 2014-17 PFC'!P117)</f>
        <v/>
      </c>
      <c r="O23" s="895" t="str">
        <f>IF(('Pl 2014-17 PFC'!Q117=0),"",'Pl 2014-17 PFC'!Q117)</f>
        <v/>
      </c>
      <c r="P23" s="895" t="str">
        <f>IF(('Pl 2014-17 PFC'!R117=0),"",'Pl 2014-17 PFC'!R117)</f>
        <v/>
      </c>
      <c r="Q23" s="895" t="str">
        <f>IF(('Pl 2014-17 PFC'!S117=0),"",'Pl 2014-17 PFC'!S117)</f>
        <v/>
      </c>
      <c r="R23" s="895">
        <f>IF(('Pl 2014-17 PFC'!D248=0),"",'Pl 2014-17 PFC'!D248)</f>
        <v>45200</v>
      </c>
      <c r="S23" s="895">
        <f>IF(('Pl 2014-17 PFC'!E248=0),"",'Pl 2014-17 PFC'!E248)</f>
        <v>57500</v>
      </c>
      <c r="T23" s="895">
        <f>IF(('Pl 2014-17 PFC'!F248=0),"",'Pl 2014-17 PFC'!F248)</f>
        <v>68700</v>
      </c>
      <c r="U23" s="895">
        <f>IF(('Pl 2014-17 PFC'!G248=0),"",'Pl 2014-17 PFC'!G248)</f>
        <v>68700</v>
      </c>
      <c r="V23" s="895">
        <f>IF(('Pl 2014-17 PFC'!H248=0),"",'Pl 2014-17 PFC'!H248)</f>
        <v>68700</v>
      </c>
      <c r="W23" s="895">
        <f>IF(('Pl 2014-17 PFC'!D265=0),"",'Pl 2014-17 PFC'!D265)</f>
        <v>133</v>
      </c>
      <c r="X23" s="895">
        <f>IF(('Pl 2014-17 PFC'!E265=0),"",'Pl 2014-17 PFC'!E265)</f>
        <v>1000</v>
      </c>
      <c r="Y23" s="895">
        <f>IF(('Pl 2014-17 PFC'!F265=0),"",'Pl 2014-17 PFC'!F265)</f>
        <v>2400</v>
      </c>
      <c r="Z23" s="895">
        <f>IF(('Pl 2014-17 PFC'!G265=0),"",'Pl 2014-17 PFC'!G265)</f>
        <v>2400</v>
      </c>
      <c r="AA23" s="895">
        <f>IF(('Pl 2014-17 PFC'!H265=0),"",'Pl 2014-17 PFC'!H265)</f>
        <v>2400</v>
      </c>
      <c r="AB23" s="895"/>
      <c r="AC23" s="895"/>
      <c r="AD23" s="895"/>
      <c r="AE23" s="895"/>
      <c r="AF23" s="895" t="str">
        <f>IF(('Pl 2014-17 PFC'!AH117=0),"",'Pl 2014-17 PFC'!AH117)</f>
        <v/>
      </c>
      <c r="AG23" s="895">
        <f t="shared" ref="AG23:AG44" si="12">IF((SUM(C23,H23,M23,R23,W23,AB23)=0),"",(SUM(C23,H23,M23,R23,W23,AB23)))</f>
        <v>47133</v>
      </c>
      <c r="AH23" s="895">
        <f t="shared" ref="AH23:AH44" si="13">IF((SUM(D23,I23,N23,S23,X23,AC23)=0),"",(SUM(D23,I23,N23,S23,X23,AC23)))</f>
        <v>60000</v>
      </c>
      <c r="AI23" s="895">
        <f t="shared" ref="AI23:AI44" si="14">IF((SUM(E23,J23,O23,T23,Y23,AD23)=0),"",(SUM(E23,J23,O23,T23,Y23,AD23)))</f>
        <v>78000</v>
      </c>
      <c r="AJ23" s="895">
        <f t="shared" ref="AJ23:AJ44" si="15">IF((SUM(F23,K23,P23,U23,Z23,AE23)=0),"",(SUM(F23,K23,P23,U23,Z23,AE23)))</f>
        <v>78000</v>
      </c>
      <c r="AK23" s="895">
        <f t="shared" ref="AK23:AK44" si="16">IF((SUM(G23,L23,Q23,V23,AA23,AF23)=0),"",(SUM(G23,L23,Q23,V23,AA23,AF23)))</f>
        <v>78000</v>
      </c>
      <c r="AL23" s="878" t="e">
        <f>"$#ODWOŁANIE$#ODWOŁANIE"/"$#ODWOŁANIE$#ODWOŁANIE"%</f>
        <v>#VALUE!</v>
      </c>
    </row>
    <row r="24" spans="1:43" s="897" customFormat="1" ht="15.75" customHeight="1" x14ac:dyDescent="0.25">
      <c r="A24" s="893" t="s">
        <v>577</v>
      </c>
      <c r="B24" s="894" t="s">
        <v>578</v>
      </c>
      <c r="C24" s="895">
        <f t="shared" ref="C24:Q24" si="17">IF((SUM(C25:C26)=0),"",SUM(C25:C26))</f>
        <v>72346</v>
      </c>
      <c r="D24" s="895">
        <f t="shared" si="17"/>
        <v>71753</v>
      </c>
      <c r="E24" s="895">
        <f t="shared" si="17"/>
        <v>5187</v>
      </c>
      <c r="F24" s="895" t="str">
        <f t="shared" si="17"/>
        <v/>
      </c>
      <c r="G24" s="895" t="str">
        <f t="shared" si="17"/>
        <v/>
      </c>
      <c r="H24" s="895" t="str">
        <f t="shared" si="17"/>
        <v/>
      </c>
      <c r="I24" s="895" t="str">
        <f t="shared" si="17"/>
        <v/>
      </c>
      <c r="J24" s="895" t="str">
        <f t="shared" si="17"/>
        <v/>
      </c>
      <c r="K24" s="895" t="str">
        <f t="shared" si="17"/>
        <v/>
      </c>
      <c r="L24" s="895" t="str">
        <f t="shared" si="17"/>
        <v/>
      </c>
      <c r="M24" s="895" t="str">
        <f t="shared" si="17"/>
        <v/>
      </c>
      <c r="N24" s="895" t="str">
        <f t="shared" si="17"/>
        <v/>
      </c>
      <c r="O24" s="895" t="str">
        <f t="shared" si="17"/>
        <v/>
      </c>
      <c r="P24" s="895" t="str">
        <f t="shared" si="17"/>
        <v/>
      </c>
      <c r="Q24" s="895" t="str">
        <f t="shared" si="17"/>
        <v/>
      </c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 t="str">
        <f>IF((SUM(AB25:AB26)=0),"",SUM(AB25:AB26))</f>
        <v/>
      </c>
      <c r="AC24" s="895" t="str">
        <f>IF((SUM(AC25:AC26)=0),"",SUM(AC25:AC26))</f>
        <v/>
      </c>
      <c r="AD24" s="895" t="str">
        <f>IF((SUM(AD25:AD26)=0),"",SUM(AD25:AD26))</f>
        <v/>
      </c>
      <c r="AE24" s="895" t="str">
        <f>IF((SUM(AE25:AE26)=0),"",SUM(AE25:AE26))</f>
        <v/>
      </c>
      <c r="AF24" s="895" t="str">
        <f>IF((SUM(AF25:AF26)=0),"",SUM(AF25:AF26))</f>
        <v/>
      </c>
      <c r="AG24" s="895">
        <f t="shared" si="12"/>
        <v>72346</v>
      </c>
      <c r="AH24" s="895">
        <f t="shared" si="13"/>
        <v>71753</v>
      </c>
      <c r="AI24" s="895">
        <f t="shared" si="14"/>
        <v>5187</v>
      </c>
      <c r="AJ24" s="895" t="str">
        <f t="shared" si="15"/>
        <v/>
      </c>
      <c r="AK24" s="895" t="str">
        <f t="shared" si="16"/>
        <v/>
      </c>
      <c r="AL24" s="896" t="e">
        <f>SUM(AL25:AL26)</f>
        <v>#VALUE!</v>
      </c>
      <c r="AM24" s="853"/>
      <c r="AP24" s="898"/>
    </row>
    <row r="25" spans="1:43" s="897" customFormat="1" ht="15.75" customHeight="1" x14ac:dyDescent="0.25">
      <c r="A25" s="893"/>
      <c r="B25" s="899" t="s">
        <v>563</v>
      </c>
      <c r="C25" s="900">
        <f>IF(('Pl 2014-17 PFC'!D193=0),"",'Pl 2014-17 PFC'!D193)</f>
        <v>61494</v>
      </c>
      <c r="D25" s="900">
        <f>IF(('Pl 2014-17 PFC'!E193=0),"",'Pl 2014-17 PFC'!E193)</f>
        <v>60990</v>
      </c>
      <c r="E25" s="900">
        <f>IF(('Pl 2014-17 PFC'!F193=0),"",'Pl 2014-17 PFC'!F193)</f>
        <v>4409</v>
      </c>
      <c r="F25" s="900" t="str">
        <f>IF(('Pl 2014-17 PFC'!G193=0),"",'Pl 2014-17 PFC'!G193)</f>
        <v/>
      </c>
      <c r="G25" s="900" t="str">
        <f>IF(('Pl 2014-17 PFC'!H193=0),"",'Pl 2014-17 PFC'!H193)</f>
        <v/>
      </c>
      <c r="H25" s="900" t="str">
        <f>IF(('Pl 2014-17 PFC'!D194=0),"",'Pl 2014-17 PFC'!D194)</f>
        <v/>
      </c>
      <c r="I25" s="900" t="str">
        <f>IF(('Pl 2014-17 PFC'!E194=0),"",'Pl 2014-17 PFC'!E194)</f>
        <v/>
      </c>
      <c r="J25" s="900" t="str">
        <f>IF(('Pl 2014-17 PFC'!F194=0),"",'Pl 2014-17 PFC'!F194)</f>
        <v/>
      </c>
      <c r="K25" s="900" t="str">
        <f>IF(('Pl 2014-17 PFC'!G194=0),"",'Pl 2014-17 PFC'!G194)</f>
        <v/>
      </c>
      <c r="L25" s="900" t="str">
        <f>IF(('Pl 2014-17 PFC'!H194=0),"",'Pl 2014-17 PFC'!H194)</f>
        <v/>
      </c>
      <c r="M25" s="900"/>
      <c r="N25" s="900" t="str">
        <f>IF(('Pl 2014-17 PFC'!P193=0),"",'Pl 2014-17 PFC'!P193)</f>
        <v/>
      </c>
      <c r="O25" s="900" t="str">
        <f>IF(('Pl 2014-17 PFC'!Q193=0),"",'Pl 2014-17 PFC'!Q193)</f>
        <v/>
      </c>
      <c r="P25" s="900" t="str">
        <f>IF(('Pl 2014-17 PFC'!R193=0),"",'Pl 2014-17 PFC'!R193)</f>
        <v/>
      </c>
      <c r="Q25" s="900" t="str">
        <f>IF(('Pl 2014-17 PFC'!S193=0),"",'Pl 2014-17 PFC'!S193)</f>
        <v/>
      </c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0"/>
      <c r="AF25" s="900" t="str">
        <f>IF(('Pl 2014-17 PFC'!AH193=0),"",'Pl 2014-17 PFC'!AH193)</f>
        <v/>
      </c>
      <c r="AG25" s="900">
        <f t="shared" si="12"/>
        <v>61494</v>
      </c>
      <c r="AH25" s="900">
        <f t="shared" si="13"/>
        <v>60990</v>
      </c>
      <c r="AI25" s="900">
        <f t="shared" si="14"/>
        <v>4409</v>
      </c>
      <c r="AJ25" s="900" t="str">
        <f t="shared" si="15"/>
        <v/>
      </c>
      <c r="AK25" s="900" t="str">
        <f t="shared" si="16"/>
        <v/>
      </c>
      <c r="AL25" s="878" t="e">
        <f t="shared" ref="AL25:AL37" si="18">"$#ODWOŁANIE$#ODWOŁANIE"/"$#ODWOŁANIE$#ODWOŁANIE"%</f>
        <v>#VALUE!</v>
      </c>
      <c r="AM25" s="853"/>
      <c r="AP25" s="898"/>
    </row>
    <row r="26" spans="1:43" s="897" customFormat="1" x14ac:dyDescent="0.25">
      <c r="A26" s="893"/>
      <c r="B26" s="899" t="s">
        <v>564</v>
      </c>
      <c r="C26" s="900">
        <f>IF(('Pl 2014-17 PFC'!D116=0),"",'Pl 2014-17 PFC'!D116)</f>
        <v>10852</v>
      </c>
      <c r="D26" s="900">
        <f>IF(('Pl 2014-17 PFC'!E116=0),"",'Pl 2014-17 PFC'!E116)</f>
        <v>10763</v>
      </c>
      <c r="E26" s="900">
        <f>IF(('Pl 2014-17 PFC'!F116=0),"",'Pl 2014-17 PFC'!F116)</f>
        <v>778</v>
      </c>
      <c r="F26" s="900" t="str">
        <f>IF(('Pl 2014-17 PFC'!G116=0),"",'Pl 2014-17 PFC'!G116)</f>
        <v/>
      </c>
      <c r="G26" s="900" t="str">
        <f>IF(('Pl 2014-17 PFC'!H116=0),"",'Pl 2014-17 PFC'!H116)</f>
        <v/>
      </c>
      <c r="H26" s="900" t="str">
        <f>IF(('Pl 2014-17 PFC'!D149=0),"",'Pl 2014-17 PFC'!D149)</f>
        <v/>
      </c>
      <c r="I26" s="900" t="str">
        <f>IF(('Pl 2014-17 PFC'!E149=0),"",'Pl 2014-17 PFC'!E149)</f>
        <v/>
      </c>
      <c r="J26" s="900" t="str">
        <f>IF(('Pl 2014-17 PFC'!F149=0),"",'Pl 2014-17 PFC'!F149)</f>
        <v/>
      </c>
      <c r="K26" s="900" t="str">
        <f>IF(('Pl 2014-17 PFC'!G149=0),"",'Pl 2014-17 PFC'!G149)</f>
        <v/>
      </c>
      <c r="L26" s="900" t="str">
        <f>IF(('Pl 2014-17 PFC'!H149=0),"",'Pl 2014-17 PFC'!H149)</f>
        <v/>
      </c>
      <c r="M26" s="900"/>
      <c r="N26" s="900" t="str">
        <f>IF(('Pl 2014-17 PFC'!P116=0),"",'Pl 2014-17 PFC'!P116)</f>
        <v/>
      </c>
      <c r="O26" s="900" t="str">
        <f>IF(('Pl 2014-17 PFC'!Q116=0),"",'Pl 2014-17 PFC'!Q116)</f>
        <v/>
      </c>
      <c r="P26" s="900" t="str">
        <f>IF(('Pl 2014-17 PFC'!R116=0),"",'Pl 2014-17 PFC'!R116)</f>
        <v/>
      </c>
      <c r="Q26" s="900" t="str">
        <f>IF(('Pl 2014-17 PFC'!S116=0),"",'Pl 2014-17 PFC'!S116)</f>
        <v/>
      </c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 t="str">
        <f>IF(('Pl 2014-17 PFC'!AH116=0),"",'Pl 2014-17 PFC'!AH116)</f>
        <v/>
      </c>
      <c r="AG26" s="900">
        <f t="shared" si="12"/>
        <v>10852</v>
      </c>
      <c r="AH26" s="900">
        <f t="shared" si="13"/>
        <v>10763</v>
      </c>
      <c r="AI26" s="900">
        <f t="shared" si="14"/>
        <v>778</v>
      </c>
      <c r="AJ26" s="900" t="str">
        <f t="shared" si="15"/>
        <v/>
      </c>
      <c r="AK26" s="900" t="str">
        <f t="shared" si="16"/>
        <v/>
      </c>
      <c r="AL26" s="878" t="e">
        <f t="shared" si="18"/>
        <v>#VALUE!</v>
      </c>
      <c r="AM26" s="853"/>
      <c r="AP26" s="898"/>
    </row>
    <row r="27" spans="1:43" x14ac:dyDescent="0.25">
      <c r="A27" s="893" t="s">
        <v>579</v>
      </c>
      <c r="B27" s="894" t="s">
        <v>580</v>
      </c>
      <c r="C27" s="895">
        <f>IF(('Pl 2014-17 PFC'!D118=0),"",'Pl 2014-17 PFC'!D118)</f>
        <v>50000</v>
      </c>
      <c r="D27" s="895">
        <f>IF(('Pl 2014-17 PFC'!E118=0),"",'Pl 2014-17 PFC'!E118)</f>
        <v>55000</v>
      </c>
      <c r="E27" s="895">
        <f>IF(('Pl 2014-17 PFC'!F118=0),"",'Pl 2014-17 PFC'!F118)</f>
        <v>55000</v>
      </c>
      <c r="F27" s="895">
        <f>IF(('Pl 2014-17 PFC'!G118=0),"",'Pl 2014-17 PFC'!G118)</f>
        <v>55000</v>
      </c>
      <c r="G27" s="895">
        <f>IF(('Pl 2014-17 PFC'!H118=0),"",'Pl 2014-17 PFC'!H118)</f>
        <v>55000</v>
      </c>
      <c r="H27" s="895"/>
      <c r="I27" s="895"/>
      <c r="J27" s="895"/>
      <c r="K27" s="895"/>
      <c r="L27" s="895"/>
      <c r="M27" s="895"/>
      <c r="N27" s="895" t="str">
        <f>IF(('Pl 2014-17 PFC'!P118=0),"",'Pl 2014-17 PFC'!P118)</f>
        <v/>
      </c>
      <c r="O27" s="895" t="str">
        <f>IF(('Pl 2014-17 PFC'!Q118=0),"",'Pl 2014-17 PFC'!Q118)</f>
        <v/>
      </c>
      <c r="P27" s="895" t="str">
        <f>IF(('Pl 2014-17 PFC'!R118=0),"",'Pl 2014-17 PFC'!R118)</f>
        <v/>
      </c>
      <c r="Q27" s="895" t="str">
        <f>IF(('Pl 2014-17 PFC'!S118=0),"",'Pl 2014-17 PFC'!S118)</f>
        <v/>
      </c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 t="str">
        <f>IF(('Pl 2014-17 PFC'!AH118=0),"",'Pl 2014-17 PFC'!AH118)</f>
        <v/>
      </c>
      <c r="AG27" s="895">
        <f t="shared" si="12"/>
        <v>50000</v>
      </c>
      <c r="AH27" s="895">
        <f t="shared" si="13"/>
        <v>55000</v>
      </c>
      <c r="AI27" s="895">
        <f t="shared" si="14"/>
        <v>55000</v>
      </c>
      <c r="AJ27" s="895">
        <f t="shared" si="15"/>
        <v>55000</v>
      </c>
      <c r="AK27" s="895">
        <f t="shared" si="16"/>
        <v>55000</v>
      </c>
      <c r="AL27" s="878" t="e">
        <f t="shared" si="18"/>
        <v>#VALUE!</v>
      </c>
    </row>
    <row r="28" spans="1:43" ht="31.5" x14ac:dyDescent="0.25">
      <c r="A28" s="893" t="s">
        <v>581</v>
      </c>
      <c r="B28" s="901" t="s">
        <v>582</v>
      </c>
      <c r="C28" s="895"/>
      <c r="D28" s="895"/>
      <c r="E28" s="895"/>
      <c r="F28" s="895"/>
      <c r="G28" s="895"/>
      <c r="H28" s="895">
        <f>IF(('Pl 2014-17 PFC'!D154=0),"",'Pl 2014-17 PFC'!D154)</f>
        <v>10</v>
      </c>
      <c r="I28" s="895">
        <f>IF(('Pl 2014-17 PFC'!E154=0),"",'Pl 2014-17 PFC'!E154)</f>
        <v>10</v>
      </c>
      <c r="J28" s="895">
        <f>IF(('Pl 2014-17 PFC'!F154=0),"",'Pl 2014-17 PFC'!F154)</f>
        <v>10</v>
      </c>
      <c r="K28" s="895">
        <f>IF(('Pl 2014-17 PFC'!G154=0),"",'Pl 2014-17 PFC'!G154)</f>
        <v>10</v>
      </c>
      <c r="L28" s="895">
        <f>IF(('Pl 2014-17 PFC'!H154=0),"",'Pl 2014-17 PFC'!H154)</f>
        <v>10</v>
      </c>
      <c r="M28" s="895"/>
      <c r="N28" s="895"/>
      <c r="O28" s="895"/>
      <c r="P28" s="895"/>
      <c r="Q28" s="895"/>
      <c r="R28" s="895"/>
      <c r="S28" s="895"/>
      <c r="T28" s="895"/>
      <c r="U28" s="895"/>
      <c r="V28" s="895"/>
      <c r="W28" s="895"/>
      <c r="X28" s="895"/>
      <c r="Y28" s="895"/>
      <c r="Z28" s="895"/>
      <c r="AA28" s="895"/>
      <c r="AB28" s="895"/>
      <c r="AC28" s="895"/>
      <c r="AD28" s="895"/>
      <c r="AE28" s="895"/>
      <c r="AF28" s="895"/>
      <c r="AG28" s="895">
        <f t="shared" si="12"/>
        <v>10</v>
      </c>
      <c r="AH28" s="895">
        <f t="shared" si="13"/>
        <v>10</v>
      </c>
      <c r="AI28" s="895">
        <f t="shared" si="14"/>
        <v>10</v>
      </c>
      <c r="AJ28" s="895">
        <f t="shared" si="15"/>
        <v>10</v>
      </c>
      <c r="AK28" s="895">
        <f t="shared" si="16"/>
        <v>10</v>
      </c>
      <c r="AL28" s="878" t="e">
        <f t="shared" si="18"/>
        <v>#VALUE!</v>
      </c>
    </row>
    <row r="29" spans="1:43" s="902" customFormat="1" x14ac:dyDescent="0.25">
      <c r="A29" s="893" t="s">
        <v>583</v>
      </c>
      <c r="B29" s="894" t="s">
        <v>49</v>
      </c>
      <c r="C29" s="895"/>
      <c r="D29" s="895"/>
      <c r="E29" s="895"/>
      <c r="F29" s="895"/>
      <c r="G29" s="895"/>
      <c r="H29" s="895">
        <f>IF(('Pl 2014-17 PFC'!D145=0),"",'Pl 2014-17 PFC'!D145)</f>
        <v>74676</v>
      </c>
      <c r="I29" s="895">
        <f>IF(('Pl 2014-17 PFC'!E145=0),"",'Pl 2014-17 PFC'!E145)</f>
        <v>84294</v>
      </c>
      <c r="J29" s="895">
        <f>IF(('Pl 2014-17 PFC'!F145=0),"",'Pl 2014-17 PFC'!F145)</f>
        <v>89318</v>
      </c>
      <c r="K29" s="895">
        <f>IF(('Pl 2014-17 PFC'!G145=0),"",'Pl 2014-17 PFC'!G145)</f>
        <v>94656</v>
      </c>
      <c r="L29" s="895">
        <f>IF(('Pl 2014-17 PFC'!H145=0),"",'Pl 2014-17 PFC'!H145)</f>
        <v>100331</v>
      </c>
      <c r="M29" s="895"/>
      <c r="N29" s="895"/>
      <c r="O29" s="895"/>
      <c r="P29" s="895"/>
      <c r="Q29" s="895"/>
      <c r="R29" s="895"/>
      <c r="S29" s="895"/>
      <c r="T29" s="895"/>
      <c r="U29" s="895"/>
      <c r="V29" s="895"/>
      <c r="W29" s="895"/>
      <c r="X29" s="895"/>
      <c r="Y29" s="895"/>
      <c r="Z29" s="895"/>
      <c r="AA29" s="895"/>
      <c r="AB29" s="895"/>
      <c r="AC29" s="895"/>
      <c r="AD29" s="895"/>
      <c r="AE29" s="895"/>
      <c r="AF29" s="895"/>
      <c r="AG29" s="895">
        <f t="shared" si="12"/>
        <v>74676</v>
      </c>
      <c r="AH29" s="895">
        <f t="shared" si="13"/>
        <v>84294</v>
      </c>
      <c r="AI29" s="895">
        <f t="shared" si="14"/>
        <v>89318</v>
      </c>
      <c r="AJ29" s="895">
        <f t="shared" si="15"/>
        <v>94656</v>
      </c>
      <c r="AK29" s="895">
        <f t="shared" si="16"/>
        <v>100331</v>
      </c>
      <c r="AL29" s="878" t="e">
        <f t="shared" si="18"/>
        <v>#VALUE!</v>
      </c>
      <c r="AM29" s="839"/>
      <c r="AP29" s="903"/>
    </row>
    <row r="30" spans="1:43" s="902" customFormat="1" x14ac:dyDescent="0.25">
      <c r="A30" s="893" t="s">
        <v>584</v>
      </c>
      <c r="B30" s="894" t="s">
        <v>585</v>
      </c>
      <c r="C30" s="895">
        <f>IF(('Pl 2014-17 PFC'!D120=0),"",'Pl 2014-17 PFC'!D120)</f>
        <v>200</v>
      </c>
      <c r="D30" s="895">
        <f>IF(('Pl 2014-17 PFC'!E120=0),"",'Pl 2014-17 PFC'!E120)</f>
        <v>300</v>
      </c>
      <c r="E30" s="895">
        <f>IF(('Pl 2014-17 PFC'!F120=0),"",'Pl 2014-17 PFC'!F120)</f>
        <v>300</v>
      </c>
      <c r="F30" s="895">
        <f>IF(('Pl 2014-17 PFC'!G120=0),"",'Pl 2014-17 PFC'!G120)</f>
        <v>300</v>
      </c>
      <c r="G30" s="895">
        <f>IF(('Pl 2014-17 PFC'!H120=0),"",'Pl 2014-17 PFC'!H120)</f>
        <v>300</v>
      </c>
      <c r="H30" s="895">
        <f>IF(('Pl 2014-17 PFC'!D156=0),"",'Pl 2014-17 PFC'!D156)</f>
        <v>140000</v>
      </c>
      <c r="I30" s="895">
        <f>IF(('Pl 2014-17 PFC'!E156=0),"",'Pl 2014-17 PFC'!E156)</f>
        <v>191316</v>
      </c>
      <c r="J30" s="895">
        <f>IF(('Pl 2014-17 PFC'!F156=0),"",'Pl 2014-17 PFC'!F156)</f>
        <v>160000</v>
      </c>
      <c r="K30" s="895">
        <f>IF(('Pl 2014-17 PFC'!G156=0),"",'Pl 2014-17 PFC'!G156)</f>
        <v>160000</v>
      </c>
      <c r="L30" s="895">
        <f>IF(('Pl 2014-17 PFC'!H156=0),"",'Pl 2014-17 PFC'!H156)</f>
        <v>160000</v>
      </c>
      <c r="M30" s="895"/>
      <c r="N30" s="895" t="str">
        <f>IF(('Pl 2014-17 PFC'!P120=0),"",'Pl 2014-17 PFC'!P120)</f>
        <v/>
      </c>
      <c r="O30" s="895" t="str">
        <f>IF(('Pl 2014-17 PFC'!Q120=0),"",'Pl 2014-17 PFC'!Q120)</f>
        <v/>
      </c>
      <c r="P30" s="895" t="str">
        <f>IF(('Pl 2014-17 PFC'!R120=0),"",'Pl 2014-17 PFC'!R120)</f>
        <v/>
      </c>
      <c r="Q30" s="895" t="str">
        <f>IF(('Pl 2014-17 PFC'!S120=0),"",'Pl 2014-17 PFC'!S120)</f>
        <v/>
      </c>
      <c r="R30" s="895" t="str">
        <f>IF(('Pl 2014-17 PFC'!D249=0),"",'Pl 2014-17 PFC'!D249)</f>
        <v/>
      </c>
      <c r="S30" s="895">
        <f>IF(('Pl 2014-17 PFC'!E249=0),"",'Pl 2014-17 PFC'!E249)</f>
        <v>1000</v>
      </c>
      <c r="T30" s="895" t="str">
        <f>IF(('Pl 2014-17 PFC'!F249=0),"",'Pl 2014-17 PFC'!F249)</f>
        <v/>
      </c>
      <c r="U30" s="895" t="str">
        <f>IF(('Pl 2014-17 PFC'!G249=0),"",'Pl 2014-17 PFC'!G249)</f>
        <v/>
      </c>
      <c r="V30" s="895" t="str">
        <f>IF(('Pl 2014-17 PFC'!H249=0),"",'Pl 2014-17 PFC'!H249)</f>
        <v/>
      </c>
      <c r="W30" s="895">
        <f>IF(('Pl 2014-17 PFC'!D268=0),"",'Pl 2014-17 PFC'!D268)</f>
        <v>900</v>
      </c>
      <c r="X30" s="895">
        <f>IF(('Pl 2014-17 PFC'!E268=0),"",'Pl 2014-17 PFC'!E268)</f>
        <v>1700</v>
      </c>
      <c r="Y30" s="895">
        <f>IF(('Pl 2014-17 PFC'!F268=0),"",'Pl 2014-17 PFC'!F268)</f>
        <v>1700</v>
      </c>
      <c r="Z30" s="895">
        <f>IF(('Pl 2014-17 PFC'!G268=0),"",'Pl 2014-17 PFC'!G268)</f>
        <v>1700</v>
      </c>
      <c r="AA30" s="895">
        <f>IF(('Pl 2014-17 PFC'!H268=0),"",'Pl 2014-17 PFC'!H268)</f>
        <v>1700</v>
      </c>
      <c r="AB30" s="895"/>
      <c r="AC30" s="895"/>
      <c r="AD30" s="895"/>
      <c r="AE30" s="895"/>
      <c r="AF30" s="895" t="str">
        <f>IF(('Pl 2014-17 PFC'!AH120=0),"",'Pl 2014-17 PFC'!AH120)</f>
        <v/>
      </c>
      <c r="AG30" s="895">
        <f t="shared" si="12"/>
        <v>141100</v>
      </c>
      <c r="AH30" s="895">
        <f t="shared" si="13"/>
        <v>194316</v>
      </c>
      <c r="AI30" s="895">
        <f t="shared" si="14"/>
        <v>162000</v>
      </c>
      <c r="AJ30" s="895">
        <f t="shared" si="15"/>
        <v>162000</v>
      </c>
      <c r="AK30" s="895">
        <f t="shared" si="16"/>
        <v>162000</v>
      </c>
      <c r="AL30" s="878" t="e">
        <f t="shared" si="18"/>
        <v>#VALUE!</v>
      </c>
      <c r="AM30" s="839"/>
      <c r="AP30" s="903"/>
    </row>
    <row r="31" spans="1:43" s="902" customFormat="1" x14ac:dyDescent="0.25">
      <c r="A31" s="893"/>
      <c r="B31" s="894" t="s">
        <v>586</v>
      </c>
      <c r="C31" s="895"/>
      <c r="D31" s="895"/>
      <c r="E31" s="895"/>
      <c r="F31" s="895"/>
      <c r="G31" s="895"/>
      <c r="H31" s="895">
        <f>IF(('Pl 2014-17 PFC'!D151=0),"",'Pl 2014-17 PFC'!D151)</f>
        <v>4200</v>
      </c>
      <c r="I31" s="895">
        <f>IF(('Pl 2014-17 PFC'!E151=0),"",'Pl 2014-17 PFC'!E151)</f>
        <v>5500</v>
      </c>
      <c r="J31" s="895">
        <f>IF(('Pl 2014-17 PFC'!F151=0),"",'Pl 2014-17 PFC'!F151)</f>
        <v>5500</v>
      </c>
      <c r="K31" s="895">
        <f>IF(('Pl 2014-17 PFC'!G151=0),"",'Pl 2014-17 PFC'!G151)</f>
        <v>5500</v>
      </c>
      <c r="L31" s="895">
        <f>IF(('Pl 2014-17 PFC'!H151=0),"",'Pl 2014-17 PFC'!H151)</f>
        <v>5500</v>
      </c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5"/>
      <c r="AF31" s="895"/>
      <c r="AG31" s="895">
        <f t="shared" si="12"/>
        <v>4200</v>
      </c>
      <c r="AH31" s="895">
        <f t="shared" si="13"/>
        <v>5500</v>
      </c>
      <c r="AI31" s="895">
        <f t="shared" si="14"/>
        <v>5500</v>
      </c>
      <c r="AJ31" s="895">
        <f t="shared" si="15"/>
        <v>5500</v>
      </c>
      <c r="AK31" s="895">
        <f t="shared" si="16"/>
        <v>5500</v>
      </c>
      <c r="AL31" s="878" t="e">
        <f t="shared" si="18"/>
        <v>#VALUE!</v>
      </c>
      <c r="AM31" s="839"/>
      <c r="AP31" s="903"/>
    </row>
    <row r="32" spans="1:43" x14ac:dyDescent="0.25">
      <c r="A32" s="893" t="s">
        <v>587</v>
      </c>
      <c r="B32" s="901" t="s">
        <v>588</v>
      </c>
      <c r="C32" s="895"/>
      <c r="D32" s="895"/>
      <c r="E32" s="895"/>
      <c r="F32" s="895"/>
      <c r="G32" s="895"/>
      <c r="H32" s="895">
        <f>IF(('Pl 2014-17 PFC'!D152=0),"",'Pl 2014-17 PFC'!D152)</f>
        <v>6041</v>
      </c>
      <c r="I32" s="895">
        <f>IF(('Pl 2014-17 PFC'!E152=0),"",'Pl 2014-17 PFC'!E152)</f>
        <v>5500</v>
      </c>
      <c r="J32" s="895">
        <f>IF(('Pl 2014-17 PFC'!F152=0),"",'Pl 2014-17 PFC'!F152)</f>
        <v>13000</v>
      </c>
      <c r="K32" s="895">
        <f>IF(('Pl 2014-17 PFC'!G152=0),"",'Pl 2014-17 PFC'!G152)</f>
        <v>13000</v>
      </c>
      <c r="L32" s="895">
        <f>IF(('Pl 2014-17 PFC'!H152=0),"",'Pl 2014-17 PFC'!H152)</f>
        <v>13000</v>
      </c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>
        <f>IF(('Pl 2014-17 PFC'!D267=0),"",'Pl 2014-17 PFC'!D267)</f>
        <v>1866</v>
      </c>
      <c r="X32" s="895">
        <f>IF(('Pl 2014-17 PFC'!E267=0),"",'Pl 2014-17 PFC'!E267)</f>
        <v>2500</v>
      </c>
      <c r="Y32" s="895">
        <f>IF(('Pl 2014-17 PFC'!F267=0),"",'Pl 2014-17 PFC'!F267)</f>
        <v>5500</v>
      </c>
      <c r="Z32" s="895">
        <f>IF(('Pl 2014-17 PFC'!G267=0),"",'Pl 2014-17 PFC'!G267)</f>
        <v>5500</v>
      </c>
      <c r="AA32" s="895">
        <f>IF(('Pl 2014-17 PFC'!H267=0),"",'Pl 2014-17 PFC'!H267)</f>
        <v>5500</v>
      </c>
      <c r="AB32" s="895"/>
      <c r="AC32" s="895"/>
      <c r="AD32" s="895"/>
      <c r="AE32" s="895"/>
      <c r="AF32" s="895"/>
      <c r="AG32" s="895">
        <f t="shared" si="12"/>
        <v>7907</v>
      </c>
      <c r="AH32" s="895">
        <f t="shared" si="13"/>
        <v>8000</v>
      </c>
      <c r="AI32" s="895">
        <f t="shared" si="14"/>
        <v>18500</v>
      </c>
      <c r="AJ32" s="895">
        <f t="shared" si="15"/>
        <v>18500</v>
      </c>
      <c r="AK32" s="895">
        <f t="shared" si="16"/>
        <v>18500</v>
      </c>
      <c r="AL32" s="878" t="e">
        <f t="shared" si="18"/>
        <v>#VALUE!</v>
      </c>
    </row>
    <row r="33" spans="1:43" x14ac:dyDescent="0.25">
      <c r="A33" s="893" t="s">
        <v>589</v>
      </c>
      <c r="B33" s="904" t="s">
        <v>590</v>
      </c>
      <c r="C33" s="895"/>
      <c r="D33" s="895"/>
      <c r="E33" s="895"/>
      <c r="F33" s="895"/>
      <c r="G33" s="895"/>
      <c r="H33" s="900">
        <f>IF(('Pl 2014-17 PFC'!D153=0),"",'Pl 2014-17 PFC'!D153)</f>
        <v>3156132</v>
      </c>
      <c r="I33" s="900">
        <f>IF(('Pl 2014-17 PFC'!E153=0),"",'Pl 2014-17 PFC'!E153)</f>
        <v>3115684</v>
      </c>
      <c r="J33" s="900">
        <f>IF(('Pl 2014-17 PFC'!F153=0),"",'Pl 2014-17 PFC'!F153)</f>
        <v>2930000</v>
      </c>
      <c r="K33" s="900">
        <f>IF(('Pl 2014-17 PFC'!G153=0),"",'Pl 2014-17 PFC'!G153)</f>
        <v>2960000</v>
      </c>
      <c r="L33" s="900">
        <f>IF(('Pl 2014-17 PFC'!H153=0),"",'Pl 2014-17 PFC'!H153)</f>
        <v>2990000</v>
      </c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 t="str">
        <f>IF((SUM(AB34:AB35)=0),"",SUM(AB34:AB35))</f>
        <v/>
      </c>
      <c r="AC33" s="895" t="str">
        <f>IF((SUM(AC34:AC35)=0),"",SUM(AC34:AC35))</f>
        <v/>
      </c>
      <c r="AD33" s="895" t="str">
        <f>IF((SUM(AD34:AD35)=0),"",SUM(AD34:AD35))</f>
        <v/>
      </c>
      <c r="AE33" s="895" t="str">
        <f>IF((SUM(AE34:AE35)=0),"",SUM(AE34:AE35))</f>
        <v/>
      </c>
      <c r="AF33" s="895"/>
      <c r="AG33" s="895">
        <f t="shared" si="12"/>
        <v>3156132</v>
      </c>
      <c r="AH33" s="895">
        <f t="shared" si="13"/>
        <v>3115684</v>
      </c>
      <c r="AI33" s="895">
        <f t="shared" si="14"/>
        <v>2930000</v>
      </c>
      <c r="AJ33" s="895">
        <f t="shared" si="15"/>
        <v>2960000</v>
      </c>
      <c r="AK33" s="895">
        <f t="shared" si="16"/>
        <v>2990000</v>
      </c>
      <c r="AL33" s="878" t="e">
        <f t="shared" si="18"/>
        <v>#VALUE!</v>
      </c>
    </row>
    <row r="34" spans="1:43" hidden="1" x14ac:dyDescent="0.25">
      <c r="A34" s="893"/>
      <c r="B34" s="905" t="s">
        <v>591</v>
      </c>
      <c r="C34" s="895"/>
      <c r="D34" s="895"/>
      <c r="E34" s="895"/>
      <c r="F34" s="895"/>
      <c r="G34" s="895"/>
      <c r="H34" s="900">
        <f>IF(('Pl 2014-17 PFC'!E92=0),"",'Pl 2014-17 PFC'!E92)</f>
        <v>717860</v>
      </c>
      <c r="I34" s="900">
        <f>IF(('Pl 2014-17 PFC'!F92=0),"",'Pl 2014-17 PFC'!F92)</f>
        <v>717860</v>
      </c>
      <c r="J34" s="900">
        <f>IF(('Pl 2014-17 PFC'!G92=0),"",'Pl 2014-17 PFC'!G92)</f>
        <v>717860</v>
      </c>
      <c r="K34" s="900">
        <f>IF(('Pl 2014-17 PFC'!H92=0),"",'Pl 2014-17 PFC'!H92)</f>
        <v>717860</v>
      </c>
      <c r="L34" s="900">
        <f>IF(('Pl 2014-17 PFC'!I92=0),"",'Pl 2014-17 PFC'!I92)</f>
        <v>722686</v>
      </c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5"/>
      <c r="AF34" s="895"/>
      <c r="AG34" s="895">
        <f t="shared" si="12"/>
        <v>717860</v>
      </c>
      <c r="AH34" s="895">
        <f t="shared" si="13"/>
        <v>717860</v>
      </c>
      <c r="AI34" s="895">
        <f t="shared" si="14"/>
        <v>717860</v>
      </c>
      <c r="AJ34" s="895">
        <f t="shared" si="15"/>
        <v>717860</v>
      </c>
      <c r="AK34" s="895">
        <f t="shared" si="16"/>
        <v>722686</v>
      </c>
      <c r="AL34" s="878" t="e">
        <f t="shared" si="18"/>
        <v>#VALUE!</v>
      </c>
    </row>
    <row r="35" spans="1:43" hidden="1" x14ac:dyDescent="0.25">
      <c r="A35" s="893"/>
      <c r="B35" s="905" t="s">
        <v>592</v>
      </c>
      <c r="C35" s="895"/>
      <c r="D35" s="895"/>
      <c r="E35" s="895"/>
      <c r="F35" s="895"/>
      <c r="G35" s="895"/>
      <c r="H35" s="900">
        <f>IF((H33-H34=0),"",H33-H34)</f>
        <v>2438272</v>
      </c>
      <c r="I35" s="900">
        <f>IF((I33-I34=0),"",I33-I34)</f>
        <v>2397824</v>
      </c>
      <c r="J35" s="900">
        <f>IF((J33-J34=0),"",J33-J34)</f>
        <v>2212140</v>
      </c>
      <c r="K35" s="900">
        <f>IF((K33-K34=0),"",K33-K34)</f>
        <v>2242140</v>
      </c>
      <c r="L35" s="900">
        <f>IF((L33-L34=0),"",L33-L34)</f>
        <v>2267314</v>
      </c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895"/>
      <c r="AG35" s="895">
        <f t="shared" si="12"/>
        <v>2438272</v>
      </c>
      <c r="AH35" s="895">
        <f t="shared" si="13"/>
        <v>2397824</v>
      </c>
      <c r="AI35" s="895">
        <f t="shared" si="14"/>
        <v>2212140</v>
      </c>
      <c r="AJ35" s="895">
        <f t="shared" si="15"/>
        <v>2242140</v>
      </c>
      <c r="AK35" s="895">
        <f t="shared" si="16"/>
        <v>2267314</v>
      </c>
      <c r="AL35" s="878" t="e">
        <f t="shared" si="18"/>
        <v>#VALUE!</v>
      </c>
    </row>
    <row r="36" spans="1:43" ht="31.5" x14ac:dyDescent="0.25">
      <c r="A36" s="893"/>
      <c r="B36" s="906" t="s">
        <v>593</v>
      </c>
      <c r="C36" s="895"/>
      <c r="D36" s="895"/>
      <c r="E36" s="895"/>
      <c r="F36" s="895"/>
      <c r="G36" s="895"/>
      <c r="H36" s="900"/>
      <c r="I36" s="900"/>
      <c r="J36" s="900"/>
      <c r="K36" s="900"/>
      <c r="L36" s="900"/>
      <c r="M36" s="895">
        <f>IF(('Pl 2014-17 PFC'!D174=0),"",'Pl 2014-17 PFC'!D174)</f>
        <v>950</v>
      </c>
      <c r="N36" s="895">
        <f>IF(('Pl 2014-17 PFC'!E174=0),"",'Pl 2014-17 PFC'!E174)</f>
        <v>1500</v>
      </c>
      <c r="O36" s="895">
        <f>IF(('Pl 2014-17 PFC'!F174=0),"",'Pl 2014-17 PFC'!F174)</f>
        <v>1500</v>
      </c>
      <c r="P36" s="895">
        <f>IF(('Pl 2014-17 PFC'!G174=0),"",'Pl 2014-17 PFC'!G174)</f>
        <v>1500</v>
      </c>
      <c r="Q36" s="895">
        <f>IF(('Pl 2014-17 PFC'!H174=0),"",'Pl 2014-17 PFC'!H174)</f>
        <v>1500</v>
      </c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95"/>
      <c r="AF36" s="895"/>
      <c r="AG36" s="895">
        <f t="shared" si="12"/>
        <v>950</v>
      </c>
      <c r="AH36" s="895">
        <f t="shared" si="13"/>
        <v>1500</v>
      </c>
      <c r="AI36" s="895">
        <f t="shared" si="14"/>
        <v>1500</v>
      </c>
      <c r="AJ36" s="895">
        <f t="shared" si="15"/>
        <v>1500</v>
      </c>
      <c r="AK36" s="895">
        <f t="shared" si="16"/>
        <v>1500</v>
      </c>
      <c r="AL36" s="878" t="e">
        <f t="shared" si="18"/>
        <v>#VALUE!</v>
      </c>
    </row>
    <row r="37" spans="1:43" s="897" customFormat="1" ht="16.5" thickBot="1" x14ac:dyDescent="0.3">
      <c r="A37" s="893" t="s">
        <v>594</v>
      </c>
      <c r="B37" s="894" t="s">
        <v>595</v>
      </c>
      <c r="C37" s="895">
        <f>IF(('Pl 2014-17 PFC'!D119=0),"",'Pl 2014-17 PFC'!D119)</f>
        <v>1200</v>
      </c>
      <c r="D37" s="895">
        <f>IF(('Pl 2014-17 PFC'!E119=0),"",'Pl 2014-17 PFC'!E119)</f>
        <v>2000</v>
      </c>
      <c r="E37" s="895">
        <f>IF(('Pl 2014-17 PFC'!F119=0),"",'Pl 2014-17 PFC'!F119)</f>
        <v>2000</v>
      </c>
      <c r="F37" s="895">
        <f>IF(('Pl 2014-17 PFC'!G119=0),"",'Pl 2014-17 PFC'!G119)</f>
        <v>2000</v>
      </c>
      <c r="G37" s="895">
        <f>IF(('Pl 2014-17 PFC'!H119=0),"",'Pl 2014-17 PFC'!H119)</f>
        <v>2000</v>
      </c>
      <c r="H37" s="895">
        <f>IF(('Pl 2014-17 PFC'!D155=0),"",'Pl 2014-17 PFC'!D155)</f>
        <v>2316</v>
      </c>
      <c r="I37" s="895">
        <f>IF(('Pl 2014-17 PFC'!E155=0),"",'Pl 2014-17 PFC'!E155)</f>
        <v>3000</v>
      </c>
      <c r="J37" s="895">
        <f>IF(('Pl 2014-17 PFC'!F155=0),"",'Pl 2014-17 PFC'!F155)</f>
        <v>3000</v>
      </c>
      <c r="K37" s="895">
        <f>IF(('Pl 2014-17 PFC'!G155=0),"",'Pl 2014-17 PFC'!G155)</f>
        <v>3000</v>
      </c>
      <c r="L37" s="895">
        <f>IF(('Pl 2014-17 PFC'!H155=0),"",'Pl 2014-17 PFC'!H155)</f>
        <v>3000</v>
      </c>
      <c r="M37" s="895"/>
      <c r="N37" s="895" t="str">
        <f>IF(('Pl 2014-17 PFC'!P119=0),"",'Pl 2014-17 PFC'!P119)</f>
        <v/>
      </c>
      <c r="O37" s="895" t="str">
        <f>IF(('Pl 2014-17 PFC'!Q119=0),"",'Pl 2014-17 PFC'!Q119)</f>
        <v/>
      </c>
      <c r="P37" s="895" t="str">
        <f>IF(('Pl 2014-17 PFC'!R119=0),"",'Pl 2014-17 PFC'!R119)</f>
        <v/>
      </c>
      <c r="Q37" s="895" t="str">
        <f>IF(('Pl 2014-17 PFC'!S119=0),"",'Pl 2014-17 PFC'!S119)</f>
        <v/>
      </c>
      <c r="R37" s="895">
        <f>IF(('Pl 2014-17 PFC'!D250=0),"",'Pl 2014-17 PFC'!D250)</f>
        <v>84</v>
      </c>
      <c r="S37" s="895">
        <f>IF(('Pl 2014-17 PFC'!E250=0),"",'Pl 2014-17 PFC'!E250)</f>
        <v>100</v>
      </c>
      <c r="T37" s="895">
        <f>IF(('Pl 2014-17 PFC'!F250=0),"",'Pl 2014-17 PFC'!F250)</f>
        <v>100</v>
      </c>
      <c r="U37" s="895">
        <f>IF(('Pl 2014-17 PFC'!G250=0),"",'Pl 2014-17 PFC'!G250)</f>
        <v>100</v>
      </c>
      <c r="V37" s="895">
        <f>IF(('Pl 2014-17 PFC'!H250=0),"",'Pl 2014-17 PFC'!H250)</f>
        <v>100</v>
      </c>
      <c r="W37" s="895" t="str">
        <f>IF(('Pl 2014-17 PFC'!D266=0),"",'Pl 2014-17 PFC'!D266)</f>
        <v/>
      </c>
      <c r="X37" s="895">
        <f>IF(('Pl 2014-17 PFC'!E266=0),"",'Pl 2014-17 PFC'!E266)</f>
        <v>100</v>
      </c>
      <c r="Y37" s="895" t="str">
        <f>IF(('Pl 2014-17 PFC'!F266=0),"",'Pl 2014-17 PFC'!F266)</f>
        <v/>
      </c>
      <c r="Z37" s="895" t="str">
        <f>IF(('Pl 2014-17 PFC'!G266=0),"",'Pl 2014-17 PFC'!G266)</f>
        <v/>
      </c>
      <c r="AA37" s="895" t="str">
        <f>IF(('Pl 2014-17 PFC'!H266=0),"",'Pl 2014-17 PFC'!H266)</f>
        <v/>
      </c>
      <c r="AB37" s="895"/>
      <c r="AC37" s="895"/>
      <c r="AD37" s="895"/>
      <c r="AE37" s="895"/>
      <c r="AF37" s="895" t="str">
        <f>IF(('Pl 2014-17 PFC'!AH119=0),"",'Pl 2014-17 PFC'!AH119)</f>
        <v/>
      </c>
      <c r="AG37" s="895">
        <f t="shared" si="12"/>
        <v>3600</v>
      </c>
      <c r="AH37" s="895">
        <f t="shared" si="13"/>
        <v>5200</v>
      </c>
      <c r="AI37" s="895">
        <f t="shared" si="14"/>
        <v>5100</v>
      </c>
      <c r="AJ37" s="895">
        <f t="shared" si="15"/>
        <v>5100</v>
      </c>
      <c r="AK37" s="895">
        <f t="shared" si="16"/>
        <v>5100</v>
      </c>
      <c r="AL37" s="878" t="e">
        <f t="shared" si="18"/>
        <v>#VALUE!</v>
      </c>
      <c r="AM37" s="853"/>
      <c r="AP37" s="898"/>
    </row>
    <row r="38" spans="1:43" s="892" customFormat="1" ht="18" customHeight="1" x14ac:dyDescent="0.25">
      <c r="A38" s="888" t="s">
        <v>596</v>
      </c>
      <c r="B38" s="907" t="s">
        <v>659</v>
      </c>
      <c r="C38" s="908">
        <f t="shared" ref="C38:AF38" si="19">IF((SUM(C39:C50)=0),"",SUM(C39:C50))</f>
        <v>73800</v>
      </c>
      <c r="D38" s="908">
        <f t="shared" si="19"/>
        <v>81677</v>
      </c>
      <c r="E38" s="908">
        <f t="shared" si="19"/>
        <v>177597</v>
      </c>
      <c r="F38" s="908">
        <f t="shared" si="19"/>
        <v>185297</v>
      </c>
      <c r="G38" s="908">
        <f t="shared" si="19"/>
        <v>193767</v>
      </c>
      <c r="H38" s="908">
        <f t="shared" si="19"/>
        <v>84</v>
      </c>
      <c r="I38" s="908">
        <f t="shared" si="19"/>
        <v>200</v>
      </c>
      <c r="J38" s="908">
        <f t="shared" si="19"/>
        <v>200</v>
      </c>
      <c r="K38" s="908">
        <f t="shared" si="19"/>
        <v>200</v>
      </c>
      <c r="L38" s="908">
        <f t="shared" si="19"/>
        <v>200</v>
      </c>
      <c r="M38" s="908">
        <f t="shared" si="19"/>
        <v>37</v>
      </c>
      <c r="N38" s="908" t="str">
        <f t="shared" si="19"/>
        <v/>
      </c>
      <c r="O38" s="908" t="str">
        <f t="shared" si="19"/>
        <v/>
      </c>
      <c r="P38" s="908" t="str">
        <f t="shared" si="19"/>
        <v/>
      </c>
      <c r="Q38" s="908" t="str">
        <f t="shared" si="19"/>
        <v/>
      </c>
      <c r="R38" s="908">
        <f t="shared" si="19"/>
        <v>41564</v>
      </c>
      <c r="S38" s="908">
        <f t="shared" si="19"/>
        <v>60000</v>
      </c>
      <c r="T38" s="908">
        <f t="shared" si="19"/>
        <v>70580</v>
      </c>
      <c r="U38" s="908">
        <f t="shared" si="19"/>
        <v>70580</v>
      </c>
      <c r="V38" s="908">
        <f t="shared" si="19"/>
        <v>70580</v>
      </c>
      <c r="W38" s="908" t="str">
        <f t="shared" si="19"/>
        <v/>
      </c>
      <c r="X38" s="908" t="str">
        <f t="shared" si="19"/>
        <v/>
      </c>
      <c r="Y38" s="908" t="str">
        <f t="shared" si="19"/>
        <v/>
      </c>
      <c r="Z38" s="908" t="str">
        <f t="shared" si="19"/>
        <v/>
      </c>
      <c r="AA38" s="908" t="str">
        <f t="shared" si="19"/>
        <v/>
      </c>
      <c r="AB38" s="908" t="str">
        <f t="shared" si="19"/>
        <v/>
      </c>
      <c r="AC38" s="908" t="str">
        <f t="shared" si="19"/>
        <v/>
      </c>
      <c r="AD38" s="908" t="str">
        <f t="shared" si="19"/>
        <v/>
      </c>
      <c r="AE38" s="908" t="str">
        <f t="shared" si="19"/>
        <v/>
      </c>
      <c r="AF38" s="908" t="str">
        <f t="shared" si="19"/>
        <v/>
      </c>
      <c r="AG38" s="908">
        <f t="shared" si="12"/>
        <v>115485</v>
      </c>
      <c r="AH38" s="908">
        <f t="shared" si="13"/>
        <v>141877</v>
      </c>
      <c r="AI38" s="908">
        <f t="shared" si="14"/>
        <v>248377</v>
      </c>
      <c r="AJ38" s="908">
        <f t="shared" si="15"/>
        <v>256077</v>
      </c>
      <c r="AK38" s="908">
        <f t="shared" si="16"/>
        <v>264547</v>
      </c>
      <c r="AL38" s="873" t="e">
        <f>IF((SUM(AL39:AL50)=0),"",SUM(AL39:AL50))</f>
        <v>#VALUE!</v>
      </c>
      <c r="AM38" s="890"/>
      <c r="AN38" s="891"/>
      <c r="AO38" s="891"/>
      <c r="AP38" s="891"/>
      <c r="AQ38" s="891"/>
    </row>
    <row r="39" spans="1:43" x14ac:dyDescent="0.25">
      <c r="A39" s="893" t="s">
        <v>575</v>
      </c>
      <c r="B39" s="894" t="s">
        <v>597</v>
      </c>
      <c r="C39" s="895">
        <f>IF(('Pl 2014-17 PFC'!D123=0),"",'Pl 2014-17 PFC'!D123)</f>
        <v>3826</v>
      </c>
      <c r="D39" s="895">
        <f>IF(('Pl 2014-17 PFC'!E123=0),"",'Pl 2014-17 PFC'!E123)</f>
        <v>5000</v>
      </c>
      <c r="E39" s="895">
        <f>IF(('Pl 2014-17 PFC'!F123=0),"",'Pl 2014-17 PFC'!F123)</f>
        <v>5000</v>
      </c>
      <c r="F39" s="895">
        <f>IF(('Pl 2014-17 PFC'!G123=0),"",'Pl 2014-17 PFC'!G123)</f>
        <v>5000</v>
      </c>
      <c r="G39" s="895">
        <f>IF(('Pl 2014-17 PFC'!H123=0),"",'Pl 2014-17 PFC'!H123)</f>
        <v>5000</v>
      </c>
      <c r="H39" s="895"/>
      <c r="I39" s="895"/>
      <c r="J39" s="895"/>
      <c r="K39" s="895"/>
      <c r="L39" s="895"/>
      <c r="M39" s="895"/>
      <c r="N39" s="895"/>
      <c r="O39" s="895"/>
      <c r="P39" s="895"/>
      <c r="Q39" s="895"/>
      <c r="R39" s="895"/>
      <c r="S39" s="895"/>
      <c r="T39" s="895"/>
      <c r="U39" s="895"/>
      <c r="V39" s="895"/>
      <c r="W39" s="895"/>
      <c r="X39" s="895"/>
      <c r="Y39" s="895"/>
      <c r="Z39" s="895"/>
      <c r="AA39" s="895"/>
      <c r="AB39" s="895"/>
      <c r="AC39" s="895"/>
      <c r="AD39" s="895"/>
      <c r="AE39" s="895"/>
      <c r="AF39" s="895" t="str">
        <f>IF(('Pl 2014-17 PFC'!AH123=0),"",'Pl 2014-17 PFC'!AH123)</f>
        <v/>
      </c>
      <c r="AG39" s="895">
        <f t="shared" si="12"/>
        <v>3826</v>
      </c>
      <c r="AH39" s="895">
        <f t="shared" si="13"/>
        <v>5000</v>
      </c>
      <c r="AI39" s="895">
        <f t="shared" si="14"/>
        <v>5000</v>
      </c>
      <c r="AJ39" s="895">
        <f t="shared" si="15"/>
        <v>5000</v>
      </c>
      <c r="AK39" s="895">
        <f t="shared" si="16"/>
        <v>5000</v>
      </c>
      <c r="AL39" s="878" t="e">
        <f t="shared" ref="AL39:AL68" si="20">"$#ODWOŁANIE$#ODWOŁANIE"/"$#ODWOŁANIE$#ODWOŁANIE"%</f>
        <v>#VALUE!</v>
      </c>
    </row>
    <row r="40" spans="1:43" x14ac:dyDescent="0.25">
      <c r="A40" s="893" t="s">
        <v>598</v>
      </c>
      <c r="B40" s="894" t="s">
        <v>599</v>
      </c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 t="str">
        <f>IF(('Pl 2014-17 PFC'!D178=0),"",'Pl 2014-17 PFC'!D178)</f>
        <v/>
      </c>
      <c r="N40" s="895" t="str">
        <f>IF(('Pl 2014-17 PFC'!E178=0),"",'Pl 2014-17 PFC'!E178)</f>
        <v/>
      </c>
      <c r="O40" s="895" t="str">
        <f>IF(('Pl 2014-17 PFC'!F178=0),"",'Pl 2014-17 PFC'!F178)</f>
        <v/>
      </c>
      <c r="P40" s="895" t="str">
        <f>IF(('Pl 2014-17 PFC'!G178=0),"",'Pl 2014-17 PFC'!G178)</f>
        <v/>
      </c>
      <c r="Q40" s="895" t="str">
        <f>IF(('Pl 2014-17 PFC'!H178=0),"",'Pl 2014-17 PFC'!H178)</f>
        <v/>
      </c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5"/>
      <c r="AF40" s="895" t="str">
        <f>IF(('Pl 2014-17 PFC'!AH126=0),"",'Pl 2014-17 PFC'!AH126)</f>
        <v/>
      </c>
      <c r="AG40" s="909" t="str">
        <f t="shared" si="12"/>
        <v/>
      </c>
      <c r="AH40" s="909" t="str">
        <f t="shared" si="13"/>
        <v/>
      </c>
      <c r="AI40" s="909" t="str">
        <f t="shared" si="14"/>
        <v/>
      </c>
      <c r="AJ40" s="909" t="str">
        <f t="shared" si="15"/>
        <v/>
      </c>
      <c r="AK40" s="909" t="str">
        <f t="shared" si="16"/>
        <v/>
      </c>
      <c r="AL40" s="878" t="e">
        <f t="shared" si="20"/>
        <v>#VALUE!</v>
      </c>
    </row>
    <row r="41" spans="1:43" x14ac:dyDescent="0.25">
      <c r="A41" s="893" t="s">
        <v>579</v>
      </c>
      <c r="B41" s="910" t="s">
        <v>600</v>
      </c>
      <c r="C41" s="895"/>
      <c r="D41" s="895"/>
      <c r="E41" s="895"/>
      <c r="F41" s="895"/>
      <c r="G41" s="895"/>
      <c r="H41" s="895"/>
      <c r="I41" s="895"/>
      <c r="J41" s="895"/>
      <c r="K41" s="895"/>
      <c r="L41" s="895"/>
      <c r="M41" s="895">
        <f>IF(('Pl 2014-17 PFC'!D179=0),"",'Pl 2014-17 PFC'!D179)</f>
        <v>7</v>
      </c>
      <c r="N41" s="895" t="str">
        <f>IF(('Pl 2014-17 PFC'!E179=0),"",'Pl 2014-17 PFC'!E179)</f>
        <v/>
      </c>
      <c r="O41" s="895" t="str">
        <f>IF(('Pl 2014-17 PFC'!F179=0),"",'Pl 2014-17 PFC'!F179)</f>
        <v/>
      </c>
      <c r="P41" s="895" t="str">
        <f>IF(('Pl 2014-17 PFC'!G179=0),"",'Pl 2014-17 PFC'!G179)</f>
        <v/>
      </c>
      <c r="Q41" s="895" t="str">
        <f>IF(('Pl 2014-17 PFC'!H179=0),"",'Pl 2014-17 PFC'!H179)</f>
        <v/>
      </c>
      <c r="R41" s="895"/>
      <c r="S41" s="895"/>
      <c r="T41" s="895"/>
      <c r="U41" s="895"/>
      <c r="V41" s="895"/>
      <c r="W41" s="895"/>
      <c r="X41" s="895"/>
      <c r="Y41" s="895"/>
      <c r="Z41" s="895"/>
      <c r="AA41" s="895"/>
      <c r="AB41" s="895"/>
      <c r="AC41" s="895"/>
      <c r="AD41" s="895"/>
      <c r="AE41" s="895"/>
      <c r="AF41" s="895" t="str">
        <f>IF(('Pl 2014-17 PFC'!AH134=0),"",'Pl 2014-17 PFC'!AH134)</f>
        <v/>
      </c>
      <c r="AG41" s="895">
        <f t="shared" si="12"/>
        <v>7</v>
      </c>
      <c r="AH41" s="895" t="str">
        <f t="shared" si="13"/>
        <v/>
      </c>
      <c r="AI41" s="895" t="str">
        <f t="shared" si="14"/>
        <v/>
      </c>
      <c r="AJ41" s="895" t="str">
        <f t="shared" si="15"/>
        <v/>
      </c>
      <c r="AK41" s="895" t="str">
        <f t="shared" si="16"/>
        <v/>
      </c>
      <c r="AL41" s="878" t="e">
        <f t="shared" si="20"/>
        <v>#VALUE!</v>
      </c>
    </row>
    <row r="42" spans="1:43" x14ac:dyDescent="0.25">
      <c r="A42" s="893" t="s">
        <v>581</v>
      </c>
      <c r="B42" s="894" t="s">
        <v>601</v>
      </c>
      <c r="C42" s="895" t="str">
        <f>IF(('Pl 2014-17 PFC'!D134=0),"",'Pl 2014-17 PFC'!D134)</f>
        <v/>
      </c>
      <c r="D42" s="895" t="str">
        <f>IF(('Pl 2014-17 PFC'!E134=0),"",'Pl 2014-17 PFC'!E134)</f>
        <v/>
      </c>
      <c r="E42" s="895" t="str">
        <f>IF(('Pl 2014-17 PFC'!F134=0),"",'Pl 2014-17 PFC'!F134)</f>
        <v/>
      </c>
      <c r="F42" s="895" t="str">
        <f>IF(('Pl 2014-17 PFC'!G134=0),"",'Pl 2014-17 PFC'!G134)</f>
        <v/>
      </c>
      <c r="G42" s="895" t="str">
        <f>IF(('Pl 2014-17 PFC'!H134=0),"",'Pl 2014-17 PFC'!H134)</f>
        <v/>
      </c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895" t="str">
        <f>IF(('Pl 2014-17 PFC'!AH127=0),"",'Pl 2014-17 PFC'!AH127)</f>
        <v/>
      </c>
      <c r="AG42" s="909" t="str">
        <f t="shared" si="12"/>
        <v/>
      </c>
      <c r="AH42" s="909" t="str">
        <f t="shared" si="13"/>
        <v/>
      </c>
      <c r="AI42" s="909" t="str">
        <f t="shared" si="14"/>
        <v/>
      </c>
      <c r="AJ42" s="909" t="str">
        <f t="shared" si="15"/>
        <v/>
      </c>
      <c r="AK42" s="909" t="str">
        <f t="shared" si="16"/>
        <v/>
      </c>
      <c r="AL42" s="878" t="e">
        <f t="shared" si="20"/>
        <v>#VALUE!</v>
      </c>
    </row>
    <row r="43" spans="1:43" x14ac:dyDescent="0.25">
      <c r="A43" s="893"/>
      <c r="B43" s="894" t="s">
        <v>602</v>
      </c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 t="str">
        <f>IF(('Pl 2014-17 PFC'!D180=0),"",'Pl 2014-17 PFC'!D180)</f>
        <v/>
      </c>
      <c r="N43" s="895" t="str">
        <f>IF(('Pl 2014-17 PFC'!E180=0),"",'Pl 2014-17 PFC'!E180)</f>
        <v/>
      </c>
      <c r="O43" s="895" t="str">
        <f>IF(('Pl 2014-17 PFC'!F180=0),"",'Pl 2014-17 PFC'!F180)</f>
        <v/>
      </c>
      <c r="P43" s="895" t="str">
        <f>IF(('Pl 2014-17 PFC'!G180=0),"",'Pl 2014-17 PFC'!G180)</f>
        <v/>
      </c>
      <c r="Q43" s="895" t="str">
        <f>IF(('Pl 2014-17 PFC'!H180=0),"",'Pl 2014-17 PFC'!H180)</f>
        <v/>
      </c>
      <c r="R43" s="895"/>
      <c r="S43" s="895"/>
      <c r="T43" s="895"/>
      <c r="U43" s="895"/>
      <c r="V43" s="895"/>
      <c r="W43" s="895"/>
      <c r="X43" s="895"/>
      <c r="Y43" s="895"/>
      <c r="Z43" s="895"/>
      <c r="AA43" s="895"/>
      <c r="AB43" s="895"/>
      <c r="AC43" s="895"/>
      <c r="AD43" s="895"/>
      <c r="AE43" s="895"/>
      <c r="AF43" s="895" t="str">
        <f>IF(('Pl 2014-17 PFC'!AH128=0),"",'Pl 2014-17 PFC'!AH128)</f>
        <v/>
      </c>
      <c r="AG43" s="909" t="str">
        <f t="shared" si="12"/>
        <v/>
      </c>
      <c r="AH43" s="909" t="str">
        <f t="shared" si="13"/>
        <v/>
      </c>
      <c r="AI43" s="909" t="str">
        <f t="shared" si="14"/>
        <v/>
      </c>
      <c r="AJ43" s="909" t="str">
        <f t="shared" si="15"/>
        <v/>
      </c>
      <c r="AK43" s="909" t="str">
        <f t="shared" si="16"/>
        <v/>
      </c>
      <c r="AL43" s="878" t="e">
        <f t="shared" si="20"/>
        <v>#VALUE!</v>
      </c>
    </row>
    <row r="44" spans="1:43" x14ac:dyDescent="0.25">
      <c r="A44" s="911" t="s">
        <v>584</v>
      </c>
      <c r="B44" s="910" t="s">
        <v>603</v>
      </c>
      <c r="C44" s="895" t="str">
        <f>IF(('Pl 2014-17 PFC'!D122=0),"",'Pl 2014-17 PFC'!D122)</f>
        <v/>
      </c>
      <c r="D44" s="895" t="str">
        <f>IF(('Pl 2014-17 PFC'!E122=0),"",'Pl 2014-17 PFC'!E122)</f>
        <v/>
      </c>
      <c r="E44" s="895" t="str">
        <f>IF(('Pl 2014-17 PFC'!F122=0),"",'Pl 2014-17 PFC'!F122)</f>
        <v/>
      </c>
      <c r="F44" s="895" t="str">
        <f>IF(('Pl 2014-17 PFC'!G122=0),"",'Pl 2014-17 PFC'!G122)</f>
        <v/>
      </c>
      <c r="G44" s="895" t="str">
        <f>IF(('Pl 2014-17 PFC'!H122=0),"",'Pl 2014-17 PFC'!H122)</f>
        <v/>
      </c>
      <c r="H44" s="895" t="str">
        <f>IF(('Pl 2014-17 PFC'!D159=0),"",'Pl 2014-17 PFC'!D159)</f>
        <v/>
      </c>
      <c r="I44" s="895" t="str">
        <f>IF(('Pl 2014-17 PFC'!E159=0),"",'Pl 2014-17 PFC'!E159)</f>
        <v/>
      </c>
      <c r="J44" s="895" t="str">
        <f>IF(('Pl 2014-17 PFC'!F159=0),"",'Pl 2014-17 PFC'!F159)</f>
        <v/>
      </c>
      <c r="K44" s="895" t="str">
        <f>IF(('Pl 2014-17 PFC'!G159=0),"",'Pl 2014-17 PFC'!G159)</f>
        <v/>
      </c>
      <c r="L44" s="895" t="str">
        <f>IF(('Pl 2014-17 PFC'!H159=0),"",'Pl 2014-17 PFC'!H159)</f>
        <v/>
      </c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5"/>
      <c r="AF44" s="895" t="str">
        <f>IF(('Pl 2014-17 PFC'!AH122=0),"",'Pl 2014-17 PFC'!AH122)</f>
        <v/>
      </c>
      <c r="AG44" s="895" t="str">
        <f t="shared" si="12"/>
        <v/>
      </c>
      <c r="AH44" s="895" t="str">
        <f t="shared" si="13"/>
        <v/>
      </c>
      <c r="AI44" s="895" t="str">
        <f t="shared" si="14"/>
        <v/>
      </c>
      <c r="AJ44" s="895" t="str">
        <f t="shared" si="15"/>
        <v/>
      </c>
      <c r="AK44" s="895" t="str">
        <f t="shared" si="16"/>
        <v/>
      </c>
      <c r="AL44" s="878" t="e">
        <f t="shared" si="20"/>
        <v>#VALUE!</v>
      </c>
    </row>
    <row r="45" spans="1:43" x14ac:dyDescent="0.25">
      <c r="A45" s="911" t="s">
        <v>604</v>
      </c>
      <c r="B45" s="910" t="s">
        <v>605</v>
      </c>
      <c r="C45" s="912">
        <f>IF(('Pl 2014-17 PFC'!D138=0),"",'Pl 2014-17 PFC'!D138)</f>
        <v>69614</v>
      </c>
      <c r="D45" s="912">
        <f>IF(('Pl 2014-17 PFC'!E138=0),"",'Pl 2014-17 PFC'!E138)</f>
        <v>75480</v>
      </c>
      <c r="E45" s="912">
        <f>IF(('Pl 2014-17 PFC'!F138=0),"",'Pl 2014-17 PFC'!F138)</f>
        <v>167000</v>
      </c>
      <c r="F45" s="912">
        <f>IF(('Pl 2014-17 PFC'!G138=0),"",'Pl 2014-17 PFC'!G138)</f>
        <v>174700</v>
      </c>
      <c r="G45" s="912">
        <f>IF(('Pl 2014-17 PFC'!H138=0),"",'Pl 2014-17 PFC'!H138)</f>
        <v>183170</v>
      </c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>
        <f>IF(('Pl 2014-17 PFC'!D260=0),"",'Pl 2014-17 PFC'!D260)</f>
        <v>41564</v>
      </c>
      <c r="S45" s="895">
        <f>IF(('Pl 2014-17 PFC'!E260=0),"",'Pl 2014-17 PFC'!E260)</f>
        <v>60000</v>
      </c>
      <c r="T45" s="895">
        <f>IF(('Pl 2014-17 PFC'!F260=0),"",'Pl 2014-17 PFC'!F260)</f>
        <v>60000</v>
      </c>
      <c r="U45" s="895">
        <f>IF(('Pl 2014-17 PFC'!G260=0),"",'Pl 2014-17 PFC'!G260)</f>
        <v>60000</v>
      </c>
      <c r="V45" s="895">
        <f>IF(('Pl 2014-17 PFC'!H260=0),"",'Pl 2014-17 PFC'!H260)</f>
        <v>60000</v>
      </c>
      <c r="W45" s="895"/>
      <c r="X45" s="895"/>
      <c r="Y45" s="895"/>
      <c r="Z45" s="895"/>
      <c r="AA45" s="895"/>
      <c r="AB45" s="895"/>
      <c r="AC45" s="895"/>
      <c r="AD45" s="895"/>
      <c r="AE45" s="895"/>
      <c r="AF45" s="895"/>
      <c r="AG45" s="909">
        <f t="shared" ref="AG45:AK46" si="21">IF((SUM(C45,H45,M45,R45,W45,AB45)=0),"0",(SUM(C45,H45,M45,R45,W45,AB45)))</f>
        <v>111178</v>
      </c>
      <c r="AH45" s="909">
        <f t="shared" si="21"/>
        <v>135480</v>
      </c>
      <c r="AI45" s="909">
        <f t="shared" si="21"/>
        <v>227000</v>
      </c>
      <c r="AJ45" s="909">
        <f t="shared" si="21"/>
        <v>234700</v>
      </c>
      <c r="AK45" s="909">
        <f t="shared" si="21"/>
        <v>243170</v>
      </c>
      <c r="AL45" s="878" t="e">
        <f t="shared" si="20"/>
        <v>#VALUE!</v>
      </c>
    </row>
    <row r="46" spans="1:43" x14ac:dyDescent="0.25">
      <c r="A46" s="911" t="s">
        <v>606</v>
      </c>
      <c r="B46" s="910" t="s">
        <v>607</v>
      </c>
      <c r="C46" s="912">
        <f>IF(('Pl 2014-17 PFC'!D137=0),"",'Pl 2014-17 PFC'!D137)</f>
        <v>360</v>
      </c>
      <c r="D46" s="912">
        <f>IF(('Pl 2014-17 PFC'!E137=0),"",'Pl 2014-17 PFC'!E137)</f>
        <v>1197</v>
      </c>
      <c r="E46" s="912">
        <f>IF(('Pl 2014-17 PFC'!F137=0),"",'Pl 2014-17 PFC'!F137)</f>
        <v>397</v>
      </c>
      <c r="F46" s="912">
        <f>IF(('Pl 2014-17 PFC'!G137=0),"",'Pl 2014-17 PFC'!G137)</f>
        <v>397</v>
      </c>
      <c r="G46" s="912">
        <f>IF(('Pl 2014-17 PFC'!H137=0),"",'Pl 2014-17 PFC'!H137)</f>
        <v>397</v>
      </c>
      <c r="H46" s="895"/>
      <c r="I46" s="895"/>
      <c r="J46" s="895"/>
      <c r="K46" s="895"/>
      <c r="L46" s="895"/>
      <c r="M46" s="895">
        <f>IF(('Pl 2014-17 PFC'!D181=0),"",'Pl 2014-17 PFC'!D181)</f>
        <v>30</v>
      </c>
      <c r="N46" s="895" t="str">
        <f>IF(('Pl 2014-17 PFC'!E181=0),"",'Pl 2014-17 PFC'!E181)</f>
        <v/>
      </c>
      <c r="O46" s="895" t="str">
        <f>IF(('Pl 2014-17 PFC'!F181=0),"",'Pl 2014-17 PFC'!F181)</f>
        <v/>
      </c>
      <c r="P46" s="895" t="str">
        <f>IF(('Pl 2014-17 PFC'!G181=0),"",'Pl 2014-17 PFC'!G181)</f>
        <v/>
      </c>
      <c r="Q46" s="895" t="str">
        <f>IF(('Pl 2014-17 PFC'!H181=0),"",'Pl 2014-17 PFC'!H181)</f>
        <v/>
      </c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912" t="str">
        <f>IF(('Pl 2014-17 PFC'!AH136=0),"",'Pl 2014-17 PFC'!AH136)</f>
        <v/>
      </c>
      <c r="AG46" s="909">
        <f t="shared" si="21"/>
        <v>390</v>
      </c>
      <c r="AH46" s="909">
        <f t="shared" si="21"/>
        <v>1197</v>
      </c>
      <c r="AI46" s="909">
        <f t="shared" si="21"/>
        <v>397</v>
      </c>
      <c r="AJ46" s="909">
        <f t="shared" si="21"/>
        <v>397</v>
      </c>
      <c r="AK46" s="909">
        <f t="shared" si="21"/>
        <v>397</v>
      </c>
      <c r="AL46" s="878" t="e">
        <f t="shared" si="20"/>
        <v>#VALUE!</v>
      </c>
    </row>
    <row r="47" spans="1:43" x14ac:dyDescent="0.25">
      <c r="A47" s="911" t="s">
        <v>608</v>
      </c>
      <c r="B47" s="910" t="s">
        <v>609</v>
      </c>
      <c r="C47" s="912" t="str">
        <f>IF(('Pl 2014-17 PFC'!D139=0),"",'Pl 2014-17 PFC'!D139)</f>
        <v/>
      </c>
      <c r="D47" s="912" t="str">
        <f>IF(('Pl 2014-17 PFC'!E139=0),"",'Pl 2014-17 PFC'!E139)</f>
        <v/>
      </c>
      <c r="E47" s="912" t="str">
        <f>IF(('Pl 2014-17 PFC'!F139=0),"",'Pl 2014-17 PFC'!F139)</f>
        <v/>
      </c>
      <c r="F47" s="912" t="str">
        <f>IF(('Pl 2014-17 PFC'!G139=0),"",'Pl 2014-17 PFC'!G139)</f>
        <v/>
      </c>
      <c r="G47" s="912" t="str">
        <f>IF(('Pl 2014-17 PFC'!H139=0),"",'Pl 2014-17 PFC'!H139)</f>
        <v/>
      </c>
      <c r="H47" s="895" t="str">
        <f>IF(('Pl 2014-17 PFC'!D166=0),"",'Pl 2014-17 PFC'!D166)</f>
        <v/>
      </c>
      <c r="I47" s="895" t="str">
        <f>IF(('Pl 2014-17 PFC'!E166=0),"",'Pl 2014-17 PFC'!E166)</f>
        <v/>
      </c>
      <c r="J47" s="895" t="str">
        <f>IF(('Pl 2014-17 PFC'!F166=0),"",'Pl 2014-17 PFC'!F166)</f>
        <v/>
      </c>
      <c r="K47" s="895" t="str">
        <f>IF(('Pl 2014-17 PFC'!G166=0),"",'Pl 2014-17 PFC'!G166)</f>
        <v/>
      </c>
      <c r="L47" s="895" t="str">
        <f>IF(('Pl 2014-17 PFC'!H166=0),"",'Pl 2014-17 PFC'!H166)</f>
        <v/>
      </c>
      <c r="M47" s="895"/>
      <c r="N47" s="895"/>
      <c r="O47" s="895"/>
      <c r="P47" s="895"/>
      <c r="Q47" s="895"/>
      <c r="R47" s="895" t="str">
        <f>IF(('Pl 2014-17 PFC'!D259=0),"",'Pl 2014-17 PFC'!D259)</f>
        <v/>
      </c>
      <c r="S47" s="895" t="str">
        <f>IF(('Pl 2014-17 PFC'!E259=0),"",'Pl 2014-17 PFC'!E259)</f>
        <v/>
      </c>
      <c r="T47" s="895" t="str">
        <f>IF(('Pl 2014-17 PFC'!F259=0),"",'Pl 2014-17 PFC'!F259)</f>
        <v/>
      </c>
      <c r="U47" s="895" t="str">
        <f>IF(('Pl 2014-17 PFC'!G259=0),"",'Pl 2014-17 PFC'!G259)</f>
        <v/>
      </c>
      <c r="V47" s="895" t="str">
        <f>IF(('Pl 2014-17 PFC'!H259=0),"",'Pl 2014-17 PFC'!H259)</f>
        <v/>
      </c>
      <c r="W47" s="895" t="str">
        <f>IF(('Pl 2014-17 PFC'!D278=0),"",'Pl 2014-17 PFC'!D278)</f>
        <v/>
      </c>
      <c r="X47" s="895" t="str">
        <f>IF(('Pl 2014-17 PFC'!E278=0),"",'Pl 2014-17 PFC'!E278)</f>
        <v/>
      </c>
      <c r="Y47" s="895" t="str">
        <f>IF(('Pl 2014-17 PFC'!F278=0),"",'Pl 2014-17 PFC'!F278)</f>
        <v/>
      </c>
      <c r="Z47" s="895" t="str">
        <f>IF(('Pl 2014-17 PFC'!G278=0),"",'Pl 2014-17 PFC'!G278)</f>
        <v/>
      </c>
      <c r="AA47" s="895" t="str">
        <f>IF(('Pl 2014-17 PFC'!H278=0),"",'Pl 2014-17 PFC'!H278)</f>
        <v/>
      </c>
      <c r="AB47" s="895"/>
      <c r="AC47" s="895"/>
      <c r="AD47" s="895"/>
      <c r="AE47" s="895"/>
      <c r="AF47" s="912" t="str">
        <f>IF(('Pl 2014-17 PFC'!AH139=0),"",'Pl 2014-17 PFC'!AH139)</f>
        <v/>
      </c>
      <c r="AG47" s="909" t="str">
        <f>IF((SUM(C47,H47,M47,R47,W47,AB47)=0),"0",(SUM(C47,H47,M47,R47,W47,AB47)))</f>
        <v>0</v>
      </c>
      <c r="AH47" s="909" t="str">
        <f>IF((SUM(D47,I47,N47,S47,X47,AC47)=0),"0",(SUM(D47,I47,N47,S47,X47,AC47)))</f>
        <v>0</v>
      </c>
      <c r="AI47" s="909" t="str">
        <f t="shared" ref="AI47:AK50" si="22">IF((SUM(E47,J47,O47,T47,Y47,AD47)=0),"",(SUM(E47,J47,O47,T47,Y47,AD47)))</f>
        <v/>
      </c>
      <c r="AJ47" s="909" t="str">
        <f t="shared" si="22"/>
        <v/>
      </c>
      <c r="AK47" s="909" t="str">
        <f t="shared" si="22"/>
        <v/>
      </c>
      <c r="AL47" s="878" t="e">
        <f t="shared" si="20"/>
        <v>#VALUE!</v>
      </c>
    </row>
    <row r="48" spans="1:43" x14ac:dyDescent="0.25">
      <c r="A48" s="913"/>
      <c r="B48" s="914" t="s">
        <v>610</v>
      </c>
      <c r="C48" s="912"/>
      <c r="D48" s="912"/>
      <c r="E48" s="912"/>
      <c r="F48" s="912"/>
      <c r="G48" s="912"/>
      <c r="H48" s="895" t="str">
        <f>IF(('Pl 2014-17 PFC'!D168=0),"",'Pl 2014-17 PFC'!D168)</f>
        <v/>
      </c>
      <c r="I48" s="895" t="str">
        <f>IF(('Pl 2014-17 PFC'!E168=0),"",'Pl 2014-17 PFC'!E168)</f>
        <v/>
      </c>
      <c r="J48" s="895" t="str">
        <f>IF(('Pl 2014-17 PFC'!F168=0),"",'Pl 2014-17 PFC'!F168)</f>
        <v/>
      </c>
      <c r="K48" s="895" t="str">
        <f>IF(('Pl 2014-17 PFC'!G168=0),"",'Pl 2014-17 PFC'!G168)</f>
        <v/>
      </c>
      <c r="L48" s="895" t="str">
        <f>IF(('Pl 2014-17 PFC'!H168=0),"",'Pl 2014-17 PFC'!H168)</f>
        <v/>
      </c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5"/>
      <c r="AF48" s="912"/>
      <c r="AG48" s="909" t="str">
        <f t="shared" ref="AG48:AH50" si="23">IF((SUM(C48,H48,M48,R48,W48,AB48)=0),"",(SUM(C48,H48,M48,R48,W48,AB48)))</f>
        <v/>
      </c>
      <c r="AH48" s="909" t="str">
        <f t="shared" si="23"/>
        <v/>
      </c>
      <c r="AI48" s="909" t="str">
        <f t="shared" si="22"/>
        <v/>
      </c>
      <c r="AJ48" s="909" t="str">
        <f t="shared" si="22"/>
        <v/>
      </c>
      <c r="AK48" s="909" t="str">
        <f t="shared" si="22"/>
        <v/>
      </c>
      <c r="AL48" s="878" t="e">
        <f t="shared" si="20"/>
        <v>#VALUE!</v>
      </c>
    </row>
    <row r="49" spans="1:42" x14ac:dyDescent="0.25">
      <c r="A49" s="913"/>
      <c r="B49" s="914" t="s">
        <v>196</v>
      </c>
      <c r="C49" s="912"/>
      <c r="D49" s="912"/>
      <c r="E49" s="912"/>
      <c r="F49" s="912"/>
      <c r="G49" s="912"/>
      <c r="H49" s="895">
        <f>IF(('Pl 2014-17 PFC'!D167=0),"",'Pl 2014-17 PFC'!D167)</f>
        <v>84</v>
      </c>
      <c r="I49" s="895">
        <f>IF(('Pl 2014-17 PFC'!E167=0),"",'Pl 2014-17 PFC'!E167)</f>
        <v>200</v>
      </c>
      <c r="J49" s="895">
        <f>IF(('Pl 2014-17 PFC'!F167=0),"",'Pl 2014-17 PFC'!F167)</f>
        <v>200</v>
      </c>
      <c r="K49" s="895">
        <f>IF(('Pl 2014-17 PFC'!G167=0),"",'Pl 2014-17 PFC'!G167)</f>
        <v>200</v>
      </c>
      <c r="L49" s="895">
        <f>IF(('Pl 2014-17 PFC'!H167=0),"",'Pl 2014-17 PFC'!H167)</f>
        <v>200</v>
      </c>
      <c r="M49" s="895" t="str">
        <f>IF(('Pl 2014-17 PFC'!D184=0),"",'Pl 2014-17 PFC'!D184)</f>
        <v/>
      </c>
      <c r="N49" s="895" t="str">
        <f>IF(('Pl 2014-17 PFC'!E184=0),"",'Pl 2014-17 PFC'!E184)</f>
        <v/>
      </c>
      <c r="O49" s="895" t="str">
        <f>IF(('Pl 2014-17 PFC'!F184=0),"",'Pl 2014-17 PFC'!F184)</f>
        <v/>
      </c>
      <c r="P49" s="895" t="str">
        <f>IF(('Pl 2014-17 PFC'!G184=0),"",'Pl 2014-17 PFC'!G184)</f>
        <v/>
      </c>
      <c r="Q49" s="895" t="str">
        <f>IF(('Pl 2014-17 PFC'!H184=0),"",'Pl 2014-17 PFC'!H184)</f>
        <v/>
      </c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912"/>
      <c r="AG49" s="895">
        <f t="shared" si="23"/>
        <v>84</v>
      </c>
      <c r="AH49" s="895">
        <f t="shared" si="23"/>
        <v>200</v>
      </c>
      <c r="AI49" s="895">
        <f t="shared" si="22"/>
        <v>200</v>
      </c>
      <c r="AJ49" s="895">
        <f t="shared" si="22"/>
        <v>200</v>
      </c>
      <c r="AK49" s="895">
        <f t="shared" si="22"/>
        <v>200</v>
      </c>
      <c r="AL49" s="878" t="e">
        <f t="shared" si="20"/>
        <v>#VALUE!</v>
      </c>
    </row>
    <row r="50" spans="1:42" x14ac:dyDescent="0.25">
      <c r="A50" s="913" t="s">
        <v>611</v>
      </c>
      <c r="B50" s="910" t="s">
        <v>179</v>
      </c>
      <c r="C50" s="912" t="str">
        <f>IF(('Pl 2014-17 PFC'!D140=0),"",'Pl 2014-17 PFC'!D140)</f>
        <v/>
      </c>
      <c r="D50" s="912" t="str">
        <f>IF(('Pl 2014-17 PFC'!E140=0),"",'Pl 2014-17 PFC'!E140)</f>
        <v/>
      </c>
      <c r="E50" s="912">
        <f>IF(('Pl 2014-17 PFC'!F140=0),"",'Pl 2014-17 PFC'!F140)</f>
        <v>5200</v>
      </c>
      <c r="F50" s="912">
        <f>IF(('Pl 2014-17 PFC'!G140=0),"",'Pl 2014-17 PFC'!G140)</f>
        <v>5200</v>
      </c>
      <c r="G50" s="912">
        <f>IF(('Pl 2014-17 PFC'!H140=0),"",'Pl 2014-17 PFC'!H140)</f>
        <v>5200</v>
      </c>
      <c r="H50" s="895" t="str">
        <f>IF(('Pl 2014-17 PFC'!D169=0),"",'Pl 2014-17 PFC'!D169)</f>
        <v/>
      </c>
      <c r="I50" s="895" t="str">
        <f>IF(('Pl 2014-17 PFC'!E169=0),"",'Pl 2014-17 PFC'!E169)</f>
        <v/>
      </c>
      <c r="J50" s="895" t="str">
        <f>IF(('Pl 2014-17 PFC'!F169=0),"",'Pl 2014-17 PFC'!F169)</f>
        <v/>
      </c>
      <c r="K50" s="895" t="str">
        <f>IF(('Pl 2014-17 PFC'!G169=0),"",'Pl 2014-17 PFC'!G169)</f>
        <v/>
      </c>
      <c r="L50" s="895" t="str">
        <f>IF(('Pl 2014-17 PFC'!H169=0),"",'Pl 2014-17 PFC'!H169)</f>
        <v/>
      </c>
      <c r="M50" s="895"/>
      <c r="N50" s="895"/>
      <c r="O50" s="895"/>
      <c r="P50" s="895"/>
      <c r="Q50" s="895"/>
      <c r="R50" s="895" t="str">
        <f>IF(('Pl 2014-17 PFC'!D261=0),"",'Pl 2014-17 PFC'!D261)</f>
        <v/>
      </c>
      <c r="S50" s="895" t="str">
        <f>IF(('Pl 2014-17 PFC'!E261=0),"",'Pl 2014-17 PFC'!E261)</f>
        <v/>
      </c>
      <c r="T50" s="895">
        <f>IF(('Pl 2014-17 PFC'!F261=0),"",'Pl 2014-17 PFC'!F261)</f>
        <v>10580</v>
      </c>
      <c r="U50" s="895">
        <f>IF(('Pl 2014-17 PFC'!G261=0),"",'Pl 2014-17 PFC'!G261)</f>
        <v>10580</v>
      </c>
      <c r="V50" s="895">
        <f>IF(('Pl 2014-17 PFC'!H261=0),"",'Pl 2014-17 PFC'!H261)</f>
        <v>10580</v>
      </c>
      <c r="W50" s="895"/>
      <c r="X50" s="895"/>
      <c r="Y50" s="895"/>
      <c r="Z50" s="895"/>
      <c r="AA50" s="895"/>
      <c r="AB50" s="895"/>
      <c r="AC50" s="895"/>
      <c r="AD50" s="895"/>
      <c r="AE50" s="895"/>
      <c r="AF50" s="912" t="str">
        <f>IF(('Pl 2014-17 PFC'!AG140=0),"",'Pl 2014-17 PFC'!AG140)</f>
        <v/>
      </c>
      <c r="AG50" s="895" t="str">
        <f t="shared" si="23"/>
        <v/>
      </c>
      <c r="AH50" s="895" t="str">
        <f t="shared" si="23"/>
        <v/>
      </c>
      <c r="AI50" s="895">
        <f t="shared" si="22"/>
        <v>15780</v>
      </c>
      <c r="AJ50" s="895">
        <f t="shared" si="22"/>
        <v>15780</v>
      </c>
      <c r="AK50" s="895">
        <f t="shared" si="22"/>
        <v>15780</v>
      </c>
      <c r="AL50" s="878" t="e">
        <f t="shared" si="20"/>
        <v>#VALUE!</v>
      </c>
    </row>
    <row r="51" spans="1:42" s="854" customFormat="1" x14ac:dyDescent="0.25">
      <c r="A51" s="915" t="s">
        <v>19</v>
      </c>
      <c r="B51" s="916" t="s">
        <v>612</v>
      </c>
      <c r="C51" s="917" t="s">
        <v>613</v>
      </c>
      <c r="D51" s="917" t="s">
        <v>613</v>
      </c>
      <c r="E51" s="917" t="s">
        <v>613</v>
      </c>
      <c r="F51" s="917" t="s">
        <v>613</v>
      </c>
      <c r="G51" s="917" t="s">
        <v>613</v>
      </c>
      <c r="H51" s="917" t="s">
        <v>613</v>
      </c>
      <c r="I51" s="917" t="s">
        <v>613</v>
      </c>
      <c r="J51" s="917" t="s">
        <v>613</v>
      </c>
      <c r="K51" s="917" t="s">
        <v>613</v>
      </c>
      <c r="L51" s="917" t="s">
        <v>613</v>
      </c>
      <c r="M51" s="917">
        <f>M52</f>
        <v>3576</v>
      </c>
      <c r="N51" s="917">
        <f>N52</f>
        <v>3661</v>
      </c>
      <c r="O51" s="917">
        <f>O52</f>
        <v>3752</v>
      </c>
      <c r="P51" s="917">
        <f>P52</f>
        <v>3845</v>
      </c>
      <c r="Q51" s="917">
        <f>Q52</f>
        <v>3941</v>
      </c>
      <c r="R51" s="917" t="s">
        <v>613</v>
      </c>
      <c r="S51" s="917" t="s">
        <v>613</v>
      </c>
      <c r="T51" s="917" t="s">
        <v>613</v>
      </c>
      <c r="U51" s="917" t="s">
        <v>613</v>
      </c>
      <c r="V51" s="917" t="s">
        <v>613</v>
      </c>
      <c r="W51" s="917" t="s">
        <v>613</v>
      </c>
      <c r="X51" s="917" t="s">
        <v>613</v>
      </c>
      <c r="Y51" s="917" t="s">
        <v>613</v>
      </c>
      <c r="Z51" s="917" t="s">
        <v>613</v>
      </c>
      <c r="AA51" s="917" t="s">
        <v>613</v>
      </c>
      <c r="AB51" s="917" t="s">
        <v>613</v>
      </c>
      <c r="AC51" s="917" t="s">
        <v>613</v>
      </c>
      <c r="AD51" s="917" t="s">
        <v>613</v>
      </c>
      <c r="AE51" s="917" t="s">
        <v>613</v>
      </c>
      <c r="AF51" s="917" t="s">
        <v>613</v>
      </c>
      <c r="AG51" s="918">
        <f>IF((SUM(AG52:AG54)=0),"",SUM(AG52:AG54))</f>
        <v>3576</v>
      </c>
      <c r="AH51" s="918">
        <f>IF((SUM(AH52:AH54)=0),"",SUM(AH52:AH54))</f>
        <v>3661</v>
      </c>
      <c r="AI51" s="918">
        <f>IF((SUM(AI52:AI54)=0),"",SUM(AI52:AI54))</f>
        <v>3752</v>
      </c>
      <c r="AJ51" s="918">
        <f>IF((SUM(AJ52:AJ54)=0),"",SUM(AJ52:AJ54))</f>
        <v>3845</v>
      </c>
      <c r="AK51" s="918">
        <f>IF((SUM(AK52:AK54)=0),"",SUM(AK52:AK54))</f>
        <v>3941</v>
      </c>
      <c r="AL51" s="919" t="e">
        <f t="shared" si="20"/>
        <v>#VALUE!</v>
      </c>
      <c r="AM51" s="853"/>
      <c r="AP51" s="855"/>
    </row>
    <row r="52" spans="1:42" s="925" customFormat="1" x14ac:dyDescent="0.25">
      <c r="A52" s="920"/>
      <c r="B52" s="921" t="s">
        <v>562</v>
      </c>
      <c r="C52" s="922"/>
      <c r="D52" s="922"/>
      <c r="E52" s="922"/>
      <c r="F52" s="922"/>
      <c r="G52" s="922"/>
      <c r="H52" s="922"/>
      <c r="I52" s="922"/>
      <c r="J52" s="922"/>
      <c r="K52" s="922"/>
      <c r="L52" s="922"/>
      <c r="M52" s="922">
        <f>IF(('Pl 2014-17 PFC'!D189=0),"",'Pl 2014-17 PFC'!D189)</f>
        <v>3576</v>
      </c>
      <c r="N52" s="922">
        <f>IF(('Pl 2014-17 PFC'!E189=0),"",'Pl 2014-17 PFC'!E189)</f>
        <v>3661</v>
      </c>
      <c r="O52" s="922">
        <f>IF(('Pl 2014-17 PFC'!F189=0),"",'Pl 2014-17 PFC'!F189)</f>
        <v>3752</v>
      </c>
      <c r="P52" s="922">
        <f>IF(('Pl 2014-17 PFC'!G189=0),"",'Pl 2014-17 PFC'!G189)</f>
        <v>3845</v>
      </c>
      <c r="Q52" s="922">
        <f>IF(('Pl 2014-17 PFC'!H189=0),"",'Pl 2014-17 PFC'!H189)</f>
        <v>3941</v>
      </c>
      <c r="R52" s="923"/>
      <c r="S52" s="923"/>
      <c r="T52" s="922"/>
      <c r="U52" s="922"/>
      <c r="V52" s="922"/>
      <c r="W52" s="923"/>
      <c r="X52" s="923"/>
      <c r="Y52" s="923"/>
      <c r="Z52" s="923"/>
      <c r="AA52" s="923"/>
      <c r="AB52" s="923"/>
      <c r="AC52" s="923"/>
      <c r="AD52" s="923"/>
      <c r="AE52" s="923"/>
      <c r="AF52" s="922"/>
      <c r="AG52" s="923">
        <f t="shared" ref="AG52:AK54" si="24">IF((SUM(C52,H52,M52,R52,W52,AB52)=0),"",(SUM(C52,H52,M52,R52,W52,AB52)))</f>
        <v>3576</v>
      </c>
      <c r="AH52" s="923">
        <f t="shared" si="24"/>
        <v>3661</v>
      </c>
      <c r="AI52" s="923">
        <f t="shared" si="24"/>
        <v>3752</v>
      </c>
      <c r="AJ52" s="923">
        <f t="shared" si="24"/>
        <v>3845</v>
      </c>
      <c r="AK52" s="923">
        <f t="shared" si="24"/>
        <v>3941</v>
      </c>
      <c r="AL52" s="924" t="e">
        <f t="shared" si="20"/>
        <v>#VALUE!</v>
      </c>
      <c r="AM52" s="859"/>
      <c r="AP52" s="859"/>
    </row>
    <row r="53" spans="1:42" s="925" customFormat="1" x14ac:dyDescent="0.25">
      <c r="A53" s="926"/>
      <c r="B53" s="927" t="s">
        <v>563</v>
      </c>
      <c r="C53" s="928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9"/>
      <c r="S53" s="929"/>
      <c r="T53" s="928"/>
      <c r="U53" s="928"/>
      <c r="V53" s="928"/>
      <c r="W53" s="929"/>
      <c r="X53" s="929"/>
      <c r="Y53" s="929"/>
      <c r="Z53" s="929"/>
      <c r="AA53" s="929"/>
      <c r="AB53" s="929"/>
      <c r="AC53" s="929"/>
      <c r="AD53" s="929"/>
      <c r="AE53" s="929"/>
      <c r="AF53" s="928"/>
      <c r="AG53" s="929" t="str">
        <f t="shared" si="24"/>
        <v/>
      </c>
      <c r="AH53" s="929" t="str">
        <f t="shared" si="24"/>
        <v/>
      </c>
      <c r="AI53" s="929" t="str">
        <f t="shared" si="24"/>
        <v/>
      </c>
      <c r="AJ53" s="929" t="str">
        <f t="shared" si="24"/>
        <v/>
      </c>
      <c r="AK53" s="929" t="str">
        <f t="shared" si="24"/>
        <v/>
      </c>
      <c r="AL53" s="930" t="e">
        <f t="shared" si="20"/>
        <v>#VALUE!</v>
      </c>
      <c r="AM53" s="859"/>
      <c r="AP53" s="859"/>
    </row>
    <row r="54" spans="1:42" s="925" customFormat="1" x14ac:dyDescent="0.25">
      <c r="A54" s="931"/>
      <c r="B54" s="932" t="s">
        <v>564</v>
      </c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933"/>
      <c r="U54" s="933"/>
      <c r="V54" s="933"/>
      <c r="W54" s="933"/>
      <c r="X54" s="933"/>
      <c r="Y54" s="933"/>
      <c r="Z54" s="933"/>
      <c r="AA54" s="933"/>
      <c r="AB54" s="934"/>
      <c r="AC54" s="934"/>
      <c r="AD54" s="934"/>
      <c r="AE54" s="934"/>
      <c r="AF54" s="933"/>
      <c r="AG54" s="934" t="str">
        <f t="shared" si="24"/>
        <v/>
      </c>
      <c r="AH54" s="934" t="str">
        <f t="shared" si="24"/>
        <v/>
      </c>
      <c r="AI54" s="934" t="str">
        <f t="shared" si="24"/>
        <v/>
      </c>
      <c r="AJ54" s="934" t="str">
        <f t="shared" si="24"/>
        <v/>
      </c>
      <c r="AK54" s="934" t="str">
        <f t="shared" si="24"/>
        <v/>
      </c>
      <c r="AL54" s="935" t="e">
        <f t="shared" si="20"/>
        <v>#VALUE!</v>
      </c>
      <c r="AM54" s="859"/>
      <c r="AP54" s="859"/>
    </row>
    <row r="55" spans="1:42" s="938" customFormat="1" ht="21.95" customHeight="1" x14ac:dyDescent="0.25">
      <c r="A55" s="915" t="s">
        <v>23</v>
      </c>
      <c r="B55" s="936" t="s">
        <v>614</v>
      </c>
      <c r="C55" s="917"/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8" t="e">
        <f>IF((SUM(AG56:AG58)=0),"",SUM(AG56:AG58))</f>
        <v>#REF!</v>
      </c>
      <c r="AH55" s="918">
        <f>IF((SUM(AH56:AH58)=0),"",SUM(AH56:AH58))</f>
        <v>316989</v>
      </c>
      <c r="AI55" s="918">
        <f>IF((SUM(AI56:AI58)=0),"",SUM(AI56:AI58))</f>
        <v>296018</v>
      </c>
      <c r="AJ55" s="918">
        <f>IF((SUM(AJ56:AJ58)=0),"",SUM(AJ56:AJ58))</f>
        <v>287720</v>
      </c>
      <c r="AK55" s="918">
        <f>IF((SUM(AK56:AK58)=0),"",SUM(AK56:AK58))</f>
        <v>288765</v>
      </c>
      <c r="AL55" s="919" t="e">
        <f t="shared" si="20"/>
        <v>#VALUE!</v>
      </c>
      <c r="AM55" s="937"/>
      <c r="AP55" s="939"/>
    </row>
    <row r="56" spans="1:42" s="925" customFormat="1" ht="16.5" thickBot="1" x14ac:dyDescent="0.3">
      <c r="A56" s="920"/>
      <c r="B56" s="921" t="s">
        <v>562</v>
      </c>
      <c r="C56" s="922"/>
      <c r="D56" s="922"/>
      <c r="E56" s="922"/>
      <c r="F56" s="922"/>
      <c r="G56" s="922"/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2"/>
      <c r="X56" s="922"/>
      <c r="Y56" s="922"/>
      <c r="Z56" s="922"/>
      <c r="AA56" s="922"/>
      <c r="AB56" s="923"/>
      <c r="AC56" s="923"/>
      <c r="AD56" s="923"/>
      <c r="AE56" s="923"/>
      <c r="AF56" s="922"/>
      <c r="AG56" s="923" t="e">
        <f>IF((SUM('Pl 2014-17 PFC'!D199,'Pl 2014-17 PFC'!D203,'Pl 2014-17 PFC'!D201,'Pl 2014-17 PFC'!D205,'Pl 2014-17 PFC'!D207,'Pl 2014-17 PFC'!D237)=0),"",SUM('Pl 2014-17 PFC'!D199,'Pl 2014-17 PFC'!D203,'Pl 2014-17 PFC'!D201,'Pl 2014-17 PFC'!D205,'Pl 2014-17 PFC'!D207,'Pl 2014-17 PFC'!D237))</f>
        <v>#REF!</v>
      </c>
      <c r="AH56" s="923">
        <f>IF((SUM('Pl 2014-17 PFC'!E199,'Pl 2014-17 PFC'!E203,'Pl 2014-17 PFC'!E201,'Pl 2014-17 PFC'!E205,'Pl 2014-17 PFC'!E207,'Pl 2014-17 PFC'!E237)=0),"",SUM('Pl 2014-17 PFC'!E199,'Pl 2014-17 PFC'!E203,'Pl 2014-17 PFC'!E201,'Pl 2014-17 PFC'!E205,'Pl 2014-17 PFC'!E207,'Pl 2014-17 PFC'!E237))</f>
        <v>316989</v>
      </c>
      <c r="AI56" s="923">
        <f>IF((SUM('Pl 2014-17 PFC'!F199,'Pl 2014-17 PFC'!F203,'Pl 2014-17 PFC'!F201,'Pl 2014-17 PFC'!F205,'Pl 2014-17 PFC'!F207,'Pl 2014-17 PFC'!F237)=0),"",SUM('Pl 2014-17 PFC'!F199,'Pl 2014-17 PFC'!F203,'Pl 2014-17 PFC'!F201,'Pl 2014-17 PFC'!F205,'Pl 2014-17 PFC'!F207,'Pl 2014-17 PFC'!F237))</f>
        <v>296018</v>
      </c>
      <c r="AJ56" s="923">
        <f>IF((SUM('Pl 2014-17 PFC'!G199,'Pl 2014-17 PFC'!G203,'Pl 2014-17 PFC'!G201,'Pl 2014-17 PFC'!G205,'Pl 2014-17 PFC'!G207,'Pl 2014-17 PFC'!G237)=0),"",SUM('Pl 2014-17 PFC'!G199,'Pl 2014-17 PFC'!G203,'Pl 2014-17 PFC'!G201,'Pl 2014-17 PFC'!G205,'Pl 2014-17 PFC'!G207,'Pl 2014-17 PFC'!G237))</f>
        <v>287720</v>
      </c>
      <c r="AK56" s="923">
        <f>IF((SUM('Pl 2014-17 PFC'!H199,'Pl 2014-17 PFC'!H203,'Pl 2014-17 PFC'!H201,'Pl 2014-17 PFC'!H205,'Pl 2014-17 PFC'!H207,'Pl 2014-17 PFC'!H237)=0),"",SUM('Pl 2014-17 PFC'!H199,'Pl 2014-17 PFC'!H203,'Pl 2014-17 PFC'!H201,'Pl 2014-17 PFC'!H205,'Pl 2014-17 PFC'!H207,'Pl 2014-17 PFC'!H237))</f>
        <v>288765</v>
      </c>
      <c r="AL56" s="940" t="e">
        <f t="shared" si="20"/>
        <v>#VALUE!</v>
      </c>
      <c r="AM56" s="937"/>
      <c r="AP56" s="859"/>
    </row>
    <row r="57" spans="1:42" s="925" customFormat="1" hidden="1" x14ac:dyDescent="0.25">
      <c r="A57" s="926"/>
      <c r="B57" s="927" t="s">
        <v>563</v>
      </c>
      <c r="C57" s="928"/>
      <c r="D57" s="928"/>
      <c r="E57" s="928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928"/>
      <c r="X57" s="928"/>
      <c r="Y57" s="928"/>
      <c r="Z57" s="928"/>
      <c r="AA57" s="928"/>
      <c r="AB57" s="929"/>
      <c r="AC57" s="929"/>
      <c r="AD57" s="929"/>
      <c r="AE57" s="929"/>
      <c r="AF57" s="928"/>
      <c r="AG57" s="929"/>
      <c r="AH57" s="929"/>
      <c r="AI57" s="929"/>
      <c r="AJ57" s="929"/>
      <c r="AK57" s="929"/>
      <c r="AL57" s="940" t="e">
        <f t="shared" si="20"/>
        <v>#VALUE!</v>
      </c>
      <c r="AM57" s="937"/>
      <c r="AP57" s="859"/>
    </row>
    <row r="58" spans="1:42" s="925" customFormat="1" hidden="1" x14ac:dyDescent="0.25">
      <c r="A58" s="931"/>
      <c r="B58" s="932" t="s">
        <v>564</v>
      </c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4"/>
      <c r="AC58" s="934"/>
      <c r="AD58" s="934"/>
      <c r="AE58" s="934"/>
      <c r="AF58" s="933"/>
      <c r="AG58" s="934"/>
      <c r="AH58" s="934"/>
      <c r="AI58" s="934"/>
      <c r="AJ58" s="934"/>
      <c r="AK58" s="934"/>
      <c r="AL58" s="940" t="e">
        <f t="shared" si="20"/>
        <v>#VALUE!</v>
      </c>
      <c r="AM58" s="937"/>
      <c r="AP58" s="859"/>
    </row>
    <row r="59" spans="1:42" s="938" customFormat="1" ht="44.1" customHeight="1" thickBot="1" x14ac:dyDescent="0.3">
      <c r="A59" s="915" t="s">
        <v>27</v>
      </c>
      <c r="B59" s="916" t="s">
        <v>615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917"/>
      <c r="AD59" s="917"/>
      <c r="AE59" s="917"/>
      <c r="AF59" s="917"/>
      <c r="AG59" s="918">
        <f>IF(('Pl 2014-17 PFC'!D291=0),"",'Pl 2014-17 PFC'!D291)</f>
        <v>1964</v>
      </c>
      <c r="AH59" s="918">
        <f>IF(('Pl 2014-17 PFC'!E291=0),"",'Pl 2014-17 PFC'!E291)</f>
        <v>3283</v>
      </c>
      <c r="AI59" s="918">
        <f>IF(('Pl 2014-17 PFC'!F291=0),"",'Pl 2014-17 PFC'!F291)</f>
        <v>1869</v>
      </c>
      <c r="AJ59" s="918">
        <f>IF(('Pl 2014-17 PFC'!G291=0),"",'Pl 2014-17 PFC'!G291)</f>
        <v>350</v>
      </c>
      <c r="AK59" s="918">
        <f>IF(('Pl 2014-17 PFC'!H291=0),"",'Pl 2014-17 PFC'!H291)</f>
        <v>350</v>
      </c>
      <c r="AL59" s="919" t="e">
        <f t="shared" si="20"/>
        <v>#VALUE!</v>
      </c>
      <c r="AM59" s="937"/>
      <c r="AP59" s="939"/>
    </row>
    <row r="60" spans="1:42" s="854" customFormat="1" ht="21.95" customHeight="1" thickBot="1" x14ac:dyDescent="0.3">
      <c r="A60" s="915" t="s">
        <v>29</v>
      </c>
      <c r="B60" s="936" t="s">
        <v>77</v>
      </c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7"/>
      <c r="R60" s="917"/>
      <c r="S60" s="917"/>
      <c r="T60" s="917"/>
      <c r="U60" s="917"/>
      <c r="V60" s="917"/>
      <c r="W60" s="917"/>
      <c r="X60" s="917"/>
      <c r="Y60" s="917"/>
      <c r="Z60" s="917"/>
      <c r="AA60" s="917"/>
      <c r="AB60" s="917"/>
      <c r="AC60" s="917"/>
      <c r="AD60" s="917"/>
      <c r="AE60" s="917"/>
      <c r="AF60" s="917"/>
      <c r="AG60" s="918">
        <f>IF((SUM(AG61:AG63)=0),"",SUM(AG61:AG63))</f>
        <v>41131</v>
      </c>
      <c r="AH60" s="918">
        <f>IF((SUM(AH61:AH63)=0),"",SUM(AH61:AH63))</f>
        <v>45573</v>
      </c>
      <c r="AI60" s="918">
        <f>IF((SUM(AI61:AI63)=0),"",SUM(AI61:AI63))</f>
        <v>45483</v>
      </c>
      <c r="AJ60" s="918">
        <f>IF((SUM(AJ61:AJ63)=0),"",SUM(AJ61:AJ63))</f>
        <v>34077</v>
      </c>
      <c r="AK60" s="918">
        <f>IF((SUM(AK61:AK63)=0),"",SUM(AK61:AK63))</f>
        <v>32120</v>
      </c>
      <c r="AL60" s="919" t="e">
        <f t="shared" si="20"/>
        <v>#VALUE!</v>
      </c>
      <c r="AM60" s="853"/>
      <c r="AP60" s="855"/>
    </row>
    <row r="61" spans="1:42" s="860" customFormat="1" x14ac:dyDescent="0.25">
      <c r="A61" s="941"/>
      <c r="B61" s="921" t="s">
        <v>562</v>
      </c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  <c r="N61" s="942"/>
      <c r="O61" s="942"/>
      <c r="P61" s="942"/>
      <c r="Q61" s="942"/>
      <c r="R61" s="942"/>
      <c r="S61" s="942"/>
      <c r="T61" s="942"/>
      <c r="U61" s="942"/>
      <c r="V61" s="942"/>
      <c r="W61" s="942"/>
      <c r="X61" s="942"/>
      <c r="Y61" s="942"/>
      <c r="Z61" s="942"/>
      <c r="AA61" s="942"/>
      <c r="AB61" s="943"/>
      <c r="AC61" s="943"/>
      <c r="AD61" s="943"/>
      <c r="AE61" s="943"/>
      <c r="AF61" s="942"/>
      <c r="AG61" s="943">
        <f>IF((SUM(AG64,AG66)=0),"",SUM(AG64,AG66))</f>
        <v>41131</v>
      </c>
      <c r="AH61" s="943">
        <f>IF((SUM(AH64,AH66)=0),"",SUM(AH64,AH66))</f>
        <v>45573</v>
      </c>
      <c r="AI61" s="943">
        <f>IF((SUM(AI64,AI66)=0),"",SUM(AI64,AI66))</f>
        <v>45483</v>
      </c>
      <c r="AJ61" s="943">
        <f>IF((SUM(AJ64,AJ66)=0),"",SUM(AJ64,AJ66))</f>
        <v>34077</v>
      </c>
      <c r="AK61" s="943">
        <f>IF((SUM(AK64,AK66)=0),"",SUM(AK64,AK66))</f>
        <v>32120</v>
      </c>
      <c r="AL61" s="944" t="e">
        <f t="shared" si="20"/>
        <v>#VALUE!</v>
      </c>
      <c r="AM61" s="859"/>
      <c r="AP61" s="861"/>
    </row>
    <row r="62" spans="1:42" s="860" customFormat="1" x14ac:dyDescent="0.25">
      <c r="A62" s="945"/>
      <c r="B62" s="927" t="s">
        <v>563</v>
      </c>
      <c r="C62" s="946"/>
      <c r="D62" s="946"/>
      <c r="E62" s="946"/>
      <c r="F62" s="946"/>
      <c r="G62" s="946"/>
      <c r="H62" s="946"/>
      <c r="I62" s="946"/>
      <c r="J62" s="946"/>
      <c r="K62" s="946"/>
      <c r="L62" s="946"/>
      <c r="M62" s="946"/>
      <c r="N62" s="946"/>
      <c r="O62" s="946"/>
      <c r="P62" s="946"/>
      <c r="Q62" s="946"/>
      <c r="R62" s="946"/>
      <c r="S62" s="946"/>
      <c r="T62" s="946"/>
      <c r="U62" s="946"/>
      <c r="V62" s="946"/>
      <c r="W62" s="946"/>
      <c r="X62" s="946"/>
      <c r="Y62" s="946"/>
      <c r="Z62" s="946"/>
      <c r="AA62" s="946"/>
      <c r="AB62" s="864"/>
      <c r="AC62" s="864"/>
      <c r="AD62" s="864"/>
      <c r="AE62" s="864"/>
      <c r="AF62" s="946"/>
      <c r="AG62" s="864" t="str">
        <f t="shared" ref="AG62:AK63" si="25">IF((AG67=0),"",AG67)</f>
        <v/>
      </c>
      <c r="AH62" s="864" t="str">
        <f t="shared" si="25"/>
        <v/>
      </c>
      <c r="AI62" s="864" t="str">
        <f t="shared" si="25"/>
        <v/>
      </c>
      <c r="AJ62" s="864" t="str">
        <f t="shared" si="25"/>
        <v/>
      </c>
      <c r="AK62" s="864" t="str">
        <f t="shared" si="25"/>
        <v/>
      </c>
      <c r="AL62" s="944" t="e">
        <f t="shared" si="20"/>
        <v>#VALUE!</v>
      </c>
      <c r="AM62" s="859"/>
      <c r="AP62" s="861"/>
    </row>
    <row r="63" spans="1:42" s="860" customFormat="1" x14ac:dyDescent="0.25">
      <c r="A63" s="947"/>
      <c r="B63" s="932" t="s">
        <v>564</v>
      </c>
      <c r="C63" s="948"/>
      <c r="D63" s="948"/>
      <c r="E63" s="948"/>
      <c r="F63" s="948"/>
      <c r="G63" s="948"/>
      <c r="H63" s="948"/>
      <c r="I63" s="948"/>
      <c r="J63" s="948"/>
      <c r="K63" s="948"/>
      <c r="L63" s="948"/>
      <c r="M63" s="948"/>
      <c r="N63" s="948"/>
      <c r="O63" s="948"/>
      <c r="P63" s="948"/>
      <c r="Q63" s="948"/>
      <c r="R63" s="948"/>
      <c r="S63" s="948"/>
      <c r="T63" s="948"/>
      <c r="U63" s="948"/>
      <c r="V63" s="948"/>
      <c r="W63" s="948"/>
      <c r="X63" s="948"/>
      <c r="Y63" s="948"/>
      <c r="Z63" s="948"/>
      <c r="AA63" s="948"/>
      <c r="AB63" s="949"/>
      <c r="AC63" s="949"/>
      <c r="AD63" s="949"/>
      <c r="AE63" s="949"/>
      <c r="AF63" s="948"/>
      <c r="AG63" s="949" t="str">
        <f t="shared" si="25"/>
        <v/>
      </c>
      <c r="AH63" s="949" t="str">
        <f t="shared" si="25"/>
        <v/>
      </c>
      <c r="AI63" s="949" t="str">
        <f t="shared" si="25"/>
        <v/>
      </c>
      <c r="AJ63" s="949" t="str">
        <f t="shared" si="25"/>
        <v/>
      </c>
      <c r="AK63" s="949" t="str">
        <f t="shared" si="25"/>
        <v/>
      </c>
      <c r="AL63" s="944" t="e">
        <f t="shared" si="20"/>
        <v>#VALUE!</v>
      </c>
      <c r="AM63" s="859"/>
      <c r="AP63" s="861"/>
    </row>
    <row r="64" spans="1:42" ht="15.75" customHeight="1" x14ac:dyDescent="0.25">
      <c r="A64" s="950"/>
      <c r="B64" s="951" t="s">
        <v>616</v>
      </c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3"/>
      <c r="AC64" s="953"/>
      <c r="AD64" s="953"/>
      <c r="AE64" s="953"/>
      <c r="AF64" s="952"/>
      <c r="AG64" s="953">
        <f>IF(('Pl 2014-17 PFC'!D242=0),"",'Pl 2014-17 PFC'!D242)</f>
        <v>24883</v>
      </c>
      <c r="AH64" s="953">
        <f>IF(('Pl 2014-17 PFC'!E242=0),"",'Pl 2014-17 PFC'!E242)</f>
        <v>22318</v>
      </c>
      <c r="AI64" s="953">
        <f>IF(('Pl 2014-17 PFC'!F242=0),"",'Pl 2014-17 PFC'!F242)</f>
        <v>26818</v>
      </c>
      <c r="AJ64" s="953">
        <f>IF(('Pl 2014-17 PFC'!G242=0),"",'Pl 2014-17 PFC'!G242)</f>
        <v>19819</v>
      </c>
      <c r="AK64" s="953">
        <f>IF(('Pl 2014-17 PFC'!H242=0),"",'Pl 2014-17 PFC'!H242)</f>
        <v>19319</v>
      </c>
      <c r="AL64" s="954" t="e">
        <f t="shared" si="20"/>
        <v>#VALUE!</v>
      </c>
    </row>
    <row r="65" spans="1:42" s="961" customFormat="1" ht="15.75" customHeight="1" x14ac:dyDescent="0.25">
      <c r="A65" s="955" t="s">
        <v>617</v>
      </c>
      <c r="B65" s="956" t="s">
        <v>618</v>
      </c>
      <c r="C65" s="957"/>
      <c r="D65" s="957"/>
      <c r="E65" s="957"/>
      <c r="F65" s="957"/>
      <c r="G65" s="957"/>
      <c r="H65" s="957"/>
      <c r="I65" s="957"/>
      <c r="J65" s="957"/>
      <c r="K65" s="957"/>
      <c r="L65" s="957"/>
      <c r="M65" s="957"/>
      <c r="N65" s="957"/>
      <c r="O65" s="957"/>
      <c r="P65" s="957"/>
      <c r="Q65" s="957"/>
      <c r="R65" s="957"/>
      <c r="S65" s="957"/>
      <c r="T65" s="957"/>
      <c r="U65" s="957"/>
      <c r="V65" s="957"/>
      <c r="W65" s="957"/>
      <c r="X65" s="957"/>
      <c r="Y65" s="957"/>
      <c r="Z65" s="957"/>
      <c r="AA65" s="957"/>
      <c r="AB65" s="958"/>
      <c r="AC65" s="958"/>
      <c r="AD65" s="958"/>
      <c r="AE65" s="958"/>
      <c r="AF65" s="957"/>
      <c r="AG65" s="958">
        <f>IF((SUM(AG66:AG68)=0),"",SUM(AG66:AG68))</f>
        <v>16248</v>
      </c>
      <c r="AH65" s="958">
        <f>IF((SUM(AH66:AH68)=0),"",SUM(AH66:AH68))</f>
        <v>23255</v>
      </c>
      <c r="AI65" s="958">
        <f>IF((SUM(AI66:AI68)=0),"",SUM(AI66:AI68))</f>
        <v>18665</v>
      </c>
      <c r="AJ65" s="958">
        <f>IF((SUM(AJ66:AJ68)=0),"",SUM(AJ66:AJ68))</f>
        <v>14258</v>
      </c>
      <c r="AK65" s="958">
        <f>IF((SUM(AK66:AK68)=0),"",SUM(AK66:AK68))</f>
        <v>12801</v>
      </c>
      <c r="AL65" s="959" t="e">
        <f t="shared" si="20"/>
        <v>#VALUE!</v>
      </c>
      <c r="AM65" s="960"/>
      <c r="AP65" s="962"/>
    </row>
    <row r="66" spans="1:42" x14ac:dyDescent="0.25">
      <c r="A66" s="963"/>
      <c r="B66" s="964" t="s">
        <v>562</v>
      </c>
      <c r="C66" s="965"/>
      <c r="D66" s="965"/>
      <c r="E66" s="965"/>
      <c r="F66" s="965"/>
      <c r="G66" s="965"/>
      <c r="H66" s="965"/>
      <c r="I66" s="965"/>
      <c r="J66" s="965"/>
      <c r="K66" s="965"/>
      <c r="L66" s="965"/>
      <c r="M66" s="965"/>
      <c r="N66" s="965"/>
      <c r="O66" s="965"/>
      <c r="P66" s="965"/>
      <c r="Q66" s="965"/>
      <c r="R66" s="965"/>
      <c r="S66" s="965"/>
      <c r="T66" s="965"/>
      <c r="U66" s="965"/>
      <c r="V66" s="965"/>
      <c r="W66" s="965"/>
      <c r="X66" s="965"/>
      <c r="Y66" s="965"/>
      <c r="Z66" s="965"/>
      <c r="AA66" s="965"/>
      <c r="AB66" s="966"/>
      <c r="AC66" s="966"/>
      <c r="AD66" s="966"/>
      <c r="AE66" s="966"/>
      <c r="AF66" s="965"/>
      <c r="AG66" s="967">
        <f>IF(('Pl 2014-17 PFC'!D244=0),"",'Pl 2014-17 PFC'!D244)</f>
        <v>16248</v>
      </c>
      <c r="AH66" s="967">
        <f>IF(('Pl 2014-17 PFC'!E244=0),"",'Pl 2014-17 PFC'!E244)</f>
        <v>23255</v>
      </c>
      <c r="AI66" s="967">
        <f>IF(('Pl 2014-17 PFC'!F244=0),"",'Pl 2014-17 PFC'!F244)</f>
        <v>18665</v>
      </c>
      <c r="AJ66" s="967">
        <f>IF(('Pl 2014-17 PFC'!G244=0),"",'Pl 2014-17 PFC'!G244)</f>
        <v>14258</v>
      </c>
      <c r="AK66" s="967">
        <f>IF(('Pl 2014-17 PFC'!H244=0),"",'Pl 2014-17 PFC'!H244)</f>
        <v>12801</v>
      </c>
      <c r="AL66" s="968" t="e">
        <f t="shared" si="20"/>
        <v>#VALUE!</v>
      </c>
    </row>
    <row r="67" spans="1:42" hidden="1" x14ac:dyDescent="0.25">
      <c r="A67" s="969"/>
      <c r="B67" s="970" t="s">
        <v>563</v>
      </c>
      <c r="C67" s="971"/>
      <c r="D67" s="971"/>
      <c r="E67" s="971"/>
      <c r="F67" s="971"/>
      <c r="G67" s="971"/>
      <c r="H67" s="971"/>
      <c r="I67" s="971"/>
      <c r="J67" s="971"/>
      <c r="K67" s="971"/>
      <c r="L67" s="971"/>
      <c r="M67" s="971"/>
      <c r="N67" s="971"/>
      <c r="O67" s="971"/>
      <c r="P67" s="971"/>
      <c r="Q67" s="971"/>
      <c r="R67" s="971"/>
      <c r="S67" s="971"/>
      <c r="T67" s="971"/>
      <c r="U67" s="971"/>
      <c r="V67" s="971"/>
      <c r="W67" s="971"/>
      <c r="X67" s="971"/>
      <c r="Y67" s="971"/>
      <c r="Z67" s="971"/>
      <c r="AA67" s="971"/>
      <c r="AB67" s="972"/>
      <c r="AC67" s="972"/>
      <c r="AD67" s="972"/>
      <c r="AE67" s="972"/>
      <c r="AF67" s="971"/>
      <c r="AG67" s="972"/>
      <c r="AH67" s="972"/>
      <c r="AI67" s="972"/>
      <c r="AJ67" s="972"/>
      <c r="AK67" s="972"/>
      <c r="AL67" s="968" t="e">
        <f t="shared" si="20"/>
        <v>#VALUE!</v>
      </c>
    </row>
    <row r="68" spans="1:42" hidden="1" x14ac:dyDescent="0.25">
      <c r="A68" s="973"/>
      <c r="B68" s="974" t="s">
        <v>564</v>
      </c>
      <c r="C68" s="975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976"/>
      <c r="AC68" s="976"/>
      <c r="AD68" s="976"/>
      <c r="AE68" s="976"/>
      <c r="AF68" s="975"/>
      <c r="AG68" s="976"/>
      <c r="AH68" s="976"/>
      <c r="AI68" s="976"/>
      <c r="AJ68" s="976"/>
      <c r="AK68" s="976"/>
      <c r="AL68" s="968" t="e">
        <f t="shared" si="20"/>
        <v>#VALUE!</v>
      </c>
    </row>
    <row r="69" spans="1:42" x14ac:dyDescent="0.25">
      <c r="A69" s="961"/>
      <c r="B69" s="961"/>
      <c r="C69" s="961"/>
      <c r="D69" s="961"/>
      <c r="E69" s="961"/>
      <c r="F69" s="961"/>
      <c r="G69" s="961"/>
      <c r="H69" s="961"/>
      <c r="I69" s="961"/>
      <c r="J69" s="961"/>
      <c r="K69" s="961"/>
      <c r="L69" s="961"/>
      <c r="M69" s="961"/>
      <c r="N69" s="961"/>
      <c r="O69" s="961"/>
      <c r="P69" s="961"/>
      <c r="Q69" s="961"/>
      <c r="R69" s="961"/>
      <c r="S69" s="961"/>
      <c r="T69" s="961"/>
      <c r="U69" s="961"/>
      <c r="V69" s="961"/>
      <c r="W69" s="961"/>
      <c r="X69" s="961"/>
      <c r="Y69" s="961"/>
      <c r="Z69" s="961"/>
      <c r="AA69" s="961"/>
      <c r="AB69" s="961"/>
      <c r="AC69" s="961"/>
      <c r="AD69" s="961"/>
      <c r="AE69" s="961"/>
      <c r="AF69" s="961"/>
      <c r="AG69" s="962"/>
      <c r="AH69" s="962"/>
      <c r="AI69" s="962"/>
      <c r="AJ69" s="962"/>
      <c r="AK69" s="961"/>
      <c r="AL69" s="962"/>
    </row>
  </sheetData>
  <sheetProtection selectLockedCells="1" selectUnlockedCells="1"/>
  <mergeCells count="5">
    <mergeCell ref="W9:AA9"/>
    <mergeCell ref="AL9:AL10"/>
    <mergeCell ref="A9:A10"/>
    <mergeCell ref="B9:B10"/>
    <mergeCell ref="M9:Q9"/>
  </mergeCells>
  <printOptions horizontalCentered="1"/>
  <pageMargins left="0" right="0" top="0" bottom="0.98425196850393704" header="0.51181102362204722" footer="0"/>
  <pageSetup paperSize="9" scale="53" firstPageNumber="0" fitToWidth="2" fitToHeight="2" orientation="portrait" r:id="rId1"/>
  <headerFooter alignWithMargins="0">
    <oddHeader xml:space="preserve">&amp;RZałącznik do Wystapienia
nr WF/1/DP/2014 do Pełnomocników Zarządu
z dnia 13 stycznia 2013 roku
</oddHeader>
    <oddFooter>&amp;RStrona &amp;P</oddFooter>
  </headerFooter>
  <colBreaks count="4" manualBreakCount="4">
    <brk id="12" max="1048575" man="1"/>
    <brk id="22" max="1048575" man="1"/>
    <brk id="32" max="1048575" man="1"/>
    <brk id="4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75" zoomScaleNormal="75" zoomScaleSheetLayoutView="75" workbookViewId="0">
      <selection activeCell="H340" sqref="H340"/>
    </sheetView>
  </sheetViews>
  <sheetFormatPr defaultRowHeight="15.75" x14ac:dyDescent="0.25"/>
  <cols>
    <col min="1" max="1" width="4.5" style="712" customWidth="1"/>
    <col min="2" max="2" width="7" style="712" customWidth="1"/>
    <col min="3" max="3" width="31.625" customWidth="1"/>
    <col min="4" max="7" width="10.5" style="713" customWidth="1"/>
    <col min="8" max="8" width="14.25" style="713" customWidth="1"/>
    <col min="9" max="9" width="10.5" style="708" customWidth="1"/>
    <col min="10" max="10" width="13.75" customWidth="1"/>
    <col min="11" max="11" width="10.125" customWidth="1"/>
  </cols>
  <sheetData>
    <row r="1" spans="1:10" x14ac:dyDescent="0.25">
      <c r="I1" s="710"/>
    </row>
    <row r="2" spans="1:10" s="707" customFormat="1" x14ac:dyDescent="0.25">
      <c r="A2" s="709"/>
      <c r="B2" s="709"/>
      <c r="D2" s="708"/>
      <c r="E2" s="708"/>
      <c r="F2" s="708"/>
      <c r="G2" s="708"/>
      <c r="H2" s="708"/>
      <c r="I2" s="714"/>
    </row>
    <row r="3" spans="1:10" s="707" customFormat="1" x14ac:dyDescent="0.25">
      <c r="A3" s="715"/>
      <c r="B3" s="716"/>
      <c r="C3" s="5"/>
      <c r="D3" s="717"/>
      <c r="E3" s="717"/>
      <c r="F3" s="717"/>
      <c r="G3" s="717"/>
      <c r="H3" s="441"/>
      <c r="I3" s="714" t="s">
        <v>613</v>
      </c>
    </row>
    <row r="4" spans="1:10" s="707" customFormat="1" ht="18.75" x14ac:dyDescent="0.3">
      <c r="A4" s="1081" t="s">
        <v>619</v>
      </c>
      <c r="B4" s="1081"/>
      <c r="C4" s="1081"/>
      <c r="D4" s="1081"/>
      <c r="E4" s="1081"/>
      <c r="F4" s="1081"/>
      <c r="G4" s="1081"/>
      <c r="H4" s="1081"/>
      <c r="I4" s="1081"/>
    </row>
    <row r="5" spans="1:10" s="707" customFormat="1" ht="18.75" x14ac:dyDescent="0.3">
      <c r="A5" s="1081" t="s">
        <v>620</v>
      </c>
      <c r="B5" s="1081"/>
      <c r="C5" s="1081"/>
      <c r="D5" s="1081"/>
      <c r="E5" s="1081"/>
      <c r="F5" s="1081"/>
      <c r="G5" s="1081"/>
      <c r="H5" s="1081"/>
      <c r="I5" s="1081"/>
    </row>
    <row r="6" spans="1:10" s="707" customFormat="1" ht="18.75" x14ac:dyDescent="0.3">
      <c r="A6" s="718"/>
      <c r="B6" s="719"/>
      <c r="C6" s="718"/>
      <c r="D6" s="720"/>
      <c r="E6" s="720"/>
      <c r="F6" s="720"/>
      <c r="G6" s="720"/>
      <c r="H6" s="720"/>
      <c r="I6" s="721" t="s">
        <v>621</v>
      </c>
    </row>
    <row r="7" spans="1:10" s="711" customFormat="1" ht="32.1" customHeight="1" x14ac:dyDescent="0.25">
      <c r="A7" s="1135" t="s">
        <v>551</v>
      </c>
      <c r="B7" s="1135" t="s">
        <v>521</v>
      </c>
      <c r="C7" s="1135"/>
      <c r="D7" s="1136" t="s">
        <v>622</v>
      </c>
      <c r="E7" s="1136" t="s">
        <v>623</v>
      </c>
      <c r="F7" s="1136" t="s">
        <v>624</v>
      </c>
      <c r="G7" s="1136" t="s">
        <v>625</v>
      </c>
      <c r="H7" s="1136" t="s">
        <v>626</v>
      </c>
      <c r="I7" s="1136" t="s">
        <v>627</v>
      </c>
    </row>
    <row r="8" spans="1:10" s="711" customFormat="1" ht="32.1" customHeight="1" x14ac:dyDescent="0.25">
      <c r="A8" s="1135"/>
      <c r="B8" s="1135"/>
      <c r="C8" s="1135"/>
      <c r="D8" s="1136"/>
      <c r="E8" s="1136"/>
      <c r="F8" s="1136"/>
      <c r="G8" s="1136"/>
      <c r="H8" s="1136"/>
      <c r="I8" s="1136"/>
    </row>
    <row r="9" spans="1:10" x14ac:dyDescent="0.25">
      <c r="A9" s="722"/>
      <c r="B9" s="723"/>
      <c r="C9" s="724"/>
      <c r="D9" s="725"/>
      <c r="E9" s="726"/>
      <c r="F9" s="726"/>
      <c r="G9" s="726"/>
      <c r="H9" s="726"/>
      <c r="I9" s="727"/>
    </row>
    <row r="10" spans="1:10" x14ac:dyDescent="0.25">
      <c r="A10" s="728" t="s">
        <v>561</v>
      </c>
      <c r="B10" s="729"/>
      <c r="C10" s="730" t="s">
        <v>628</v>
      </c>
      <c r="D10" s="731"/>
      <c r="E10" s="731"/>
      <c r="F10" s="731"/>
      <c r="G10" s="731"/>
      <c r="H10" s="731"/>
      <c r="I10" s="732"/>
    </row>
    <row r="11" spans="1:10" x14ac:dyDescent="0.25">
      <c r="A11" s="733">
        <v>1</v>
      </c>
      <c r="B11" s="734" t="s">
        <v>629</v>
      </c>
      <c r="C11" s="735" t="s">
        <v>630</v>
      </c>
      <c r="D11" s="736">
        <v>27280899</v>
      </c>
      <c r="E11" s="737">
        <v>54900</v>
      </c>
      <c r="F11" s="736">
        <v>495360</v>
      </c>
      <c r="G11" s="736">
        <v>1622044</v>
      </c>
      <c r="H11" s="736">
        <v>725771</v>
      </c>
      <c r="I11" s="738">
        <f>SUM(D11,E11)-SUM(F11:H11)</f>
        <v>24492624</v>
      </c>
      <c r="J11" s="739"/>
    </row>
    <row r="12" spans="1:10" x14ac:dyDescent="0.25">
      <c r="A12" s="733">
        <v>2</v>
      </c>
      <c r="B12" s="734" t="s">
        <v>629</v>
      </c>
      <c r="C12" s="735" t="s">
        <v>631</v>
      </c>
      <c r="D12" s="736"/>
      <c r="E12" s="740"/>
      <c r="F12" s="736"/>
      <c r="G12" s="736"/>
      <c r="H12" s="736"/>
      <c r="I12" s="738"/>
      <c r="J12" s="739"/>
    </row>
    <row r="13" spans="1:10" x14ac:dyDescent="0.25">
      <c r="A13" s="733">
        <v>3</v>
      </c>
      <c r="B13" s="734" t="s">
        <v>629</v>
      </c>
      <c r="C13" s="735" t="s">
        <v>632</v>
      </c>
      <c r="D13" s="736">
        <v>24492624</v>
      </c>
      <c r="E13" s="741">
        <v>0</v>
      </c>
      <c r="F13" s="736">
        <v>900000</v>
      </c>
      <c r="G13" s="736">
        <v>4000000</v>
      </c>
      <c r="H13" s="736">
        <v>2000000</v>
      </c>
      <c r="I13" s="738">
        <f>SUM(D13,E13)-SUM(F13:H13)</f>
        <v>17592624</v>
      </c>
      <c r="J13" s="739"/>
    </row>
    <row r="14" spans="1:10" x14ac:dyDescent="0.25">
      <c r="A14" s="733">
        <v>4</v>
      </c>
      <c r="B14" s="734" t="s">
        <v>633</v>
      </c>
      <c r="C14" s="735" t="s">
        <v>630</v>
      </c>
      <c r="D14" s="736">
        <f>I13</f>
        <v>17592624</v>
      </c>
      <c r="E14" s="740" t="s">
        <v>634</v>
      </c>
      <c r="F14" s="736">
        <v>800000</v>
      </c>
      <c r="G14" s="736">
        <v>4000000</v>
      </c>
      <c r="H14" s="736">
        <v>2000000</v>
      </c>
      <c r="I14" s="738">
        <f>SUM(D14,E14)-SUM(F14:H14)</f>
        <v>10792624</v>
      </c>
      <c r="J14" s="739"/>
    </row>
    <row r="15" spans="1:10" x14ac:dyDescent="0.25">
      <c r="A15" s="733">
        <v>5</v>
      </c>
      <c r="B15" s="734" t="s">
        <v>635</v>
      </c>
      <c r="C15" s="735" t="s">
        <v>630</v>
      </c>
      <c r="D15" s="736">
        <f>I14</f>
        <v>10792624</v>
      </c>
      <c r="E15" s="740" t="s">
        <v>634</v>
      </c>
      <c r="F15" s="736">
        <v>700000</v>
      </c>
      <c r="G15" s="736">
        <v>4000000</v>
      </c>
      <c r="H15" s="736">
        <v>1800000</v>
      </c>
      <c r="I15" s="738">
        <f>SUM(D15,E15)-SUM(F15:H15)</f>
        <v>4292624</v>
      </c>
      <c r="J15" s="739"/>
    </row>
    <row r="16" spans="1:10" x14ac:dyDescent="0.25">
      <c r="A16" s="733">
        <v>6</v>
      </c>
      <c r="B16" s="734" t="s">
        <v>636</v>
      </c>
      <c r="C16" s="735" t="s">
        <v>630</v>
      </c>
      <c r="D16" s="736">
        <f>I15</f>
        <v>4292624</v>
      </c>
      <c r="E16" s="740" t="s">
        <v>634</v>
      </c>
      <c r="F16" s="736">
        <v>600000</v>
      </c>
      <c r="G16" s="736">
        <v>3000000</v>
      </c>
      <c r="H16" s="736">
        <v>692624</v>
      </c>
      <c r="I16" s="738">
        <f>SUM(D16,E16)-SUM(F16:H16)</f>
        <v>0</v>
      </c>
      <c r="J16" s="739"/>
    </row>
    <row r="17" spans="1:11" x14ac:dyDescent="0.25">
      <c r="A17" s="742"/>
      <c r="B17" s="743"/>
      <c r="C17" s="744"/>
      <c r="D17" s="745"/>
      <c r="E17" s="745"/>
      <c r="F17" s="745"/>
      <c r="G17" s="746"/>
      <c r="H17" s="746"/>
      <c r="I17" s="747"/>
    </row>
    <row r="18" spans="1:11" x14ac:dyDescent="0.25">
      <c r="A18" s="748" t="s">
        <v>637</v>
      </c>
      <c r="B18" s="729"/>
      <c r="C18" s="730" t="s">
        <v>638</v>
      </c>
      <c r="D18" s="749"/>
      <c r="E18" s="749"/>
      <c r="F18" s="749"/>
      <c r="G18" s="749"/>
      <c r="H18" s="749"/>
      <c r="I18" s="750"/>
    </row>
    <row r="19" spans="1:11" x14ac:dyDescent="0.25">
      <c r="A19" s="733">
        <v>1</v>
      </c>
      <c r="B19" s="734" t="s">
        <v>629</v>
      </c>
      <c r="C19" s="735" t="s">
        <v>630</v>
      </c>
      <c r="D19" s="736">
        <f>'Rozl.poż.pr.cel.-plan 2008-10'!D58</f>
        <v>0</v>
      </c>
      <c r="E19" s="736">
        <f>'Rozl.poż.pr.cel.-plan 2008-10'!E58</f>
        <v>0</v>
      </c>
      <c r="F19" s="736">
        <f>'Rozl.poż.pr.cel.-plan 2008-10'!F58</f>
        <v>0</v>
      </c>
      <c r="G19" s="736">
        <f>'Rozl.poż.pr.cel.-plan 2008-10'!G58</f>
        <v>0</v>
      </c>
      <c r="H19" s="736">
        <f>'Rozl.poż.pr.cel.-plan 2008-10'!H58</f>
        <v>0</v>
      </c>
      <c r="I19" s="738">
        <f>'Rozl.poż.pr.cel.-plan 2008-10'!I58</f>
        <v>0</v>
      </c>
      <c r="J19" s="739"/>
    </row>
    <row r="20" spans="1:11" x14ac:dyDescent="0.25">
      <c r="A20" s="733">
        <v>2</v>
      </c>
      <c r="B20" s="734" t="s">
        <v>629</v>
      </c>
      <c r="C20" s="735" t="s">
        <v>631</v>
      </c>
      <c r="D20" s="736">
        <f>'Rozl.poż.pr.cel.-plan 2008-10'!D59</f>
        <v>0</v>
      </c>
      <c r="E20" s="736">
        <f>'Rozl.poż.pr.cel.-plan 2008-10'!E59</f>
        <v>0</v>
      </c>
      <c r="F20" s="736">
        <f>'Rozl.poż.pr.cel.-plan 2008-10'!F59</f>
        <v>0</v>
      </c>
      <c r="G20" s="736">
        <f>'Rozl.poż.pr.cel.-plan 2008-10'!G59</f>
        <v>0</v>
      </c>
      <c r="H20" s="736">
        <f>'Rozl.poż.pr.cel.-plan 2008-10'!H59</f>
        <v>0</v>
      </c>
      <c r="I20" s="738">
        <f>'Rozl.poż.pr.cel.-plan 2008-10'!I59</f>
        <v>0</v>
      </c>
      <c r="J20" s="739"/>
    </row>
    <row r="21" spans="1:11" x14ac:dyDescent="0.25">
      <c r="A21" s="733">
        <v>3</v>
      </c>
      <c r="B21" s="734" t="s">
        <v>629</v>
      </c>
      <c r="C21" s="735" t="s">
        <v>632</v>
      </c>
      <c r="D21" s="736">
        <f>'Rozl.poż.pr.cel.-plan 2008-10'!D60</f>
        <v>147935</v>
      </c>
      <c r="E21" s="736">
        <f>'Rozl.poż.pr.cel.-plan 2008-10'!E60</f>
        <v>0</v>
      </c>
      <c r="F21" s="736">
        <f>'Rozl.poż.pr.cel.-plan 2008-10'!F60</f>
        <v>62198</v>
      </c>
      <c r="G21" s="736">
        <f>'Rozl.poż.pr.cel.-plan 2008-10'!G60</f>
        <v>0</v>
      </c>
      <c r="H21" s="736">
        <f>'Rozl.poż.pr.cel.-plan 2008-10'!H60</f>
        <v>35942</v>
      </c>
      <c r="I21" s="738">
        <f>'Rozl.poż.pr.cel.-plan 2008-10'!I60</f>
        <v>49795</v>
      </c>
      <c r="J21" s="739"/>
    </row>
    <row r="22" spans="1:11" x14ac:dyDescent="0.25">
      <c r="A22" s="733">
        <v>4</v>
      </c>
      <c r="B22" s="734" t="s">
        <v>633</v>
      </c>
      <c r="C22" s="735" t="s">
        <v>630</v>
      </c>
      <c r="D22" s="736">
        <f>'Rozl.poż.pr.cel.-plan 2008-10'!D61</f>
        <v>49795</v>
      </c>
      <c r="E22" s="736">
        <f>'Rozl.poż.pr.cel.-plan 2008-10'!E61</f>
        <v>0</v>
      </c>
      <c r="F22" s="736">
        <f>'Rozl.poż.pr.cel.-plan 2008-10'!F61</f>
        <v>6050</v>
      </c>
      <c r="G22" s="736">
        <f>'Rozl.poż.pr.cel.-plan 2008-10'!G61</f>
        <v>0</v>
      </c>
      <c r="H22" s="736">
        <f>'Rozl.poż.pr.cel.-plan 2008-10'!H61</f>
        <v>42218</v>
      </c>
      <c r="I22" s="738">
        <f>'Rozl.poż.pr.cel.-plan 2008-10'!I61</f>
        <v>1527</v>
      </c>
      <c r="J22" s="739"/>
    </row>
    <row r="23" spans="1:11" x14ac:dyDescent="0.25">
      <c r="A23" s="733">
        <v>5</v>
      </c>
      <c r="B23" s="734" t="s">
        <v>635</v>
      </c>
      <c r="C23" s="735" t="s">
        <v>630</v>
      </c>
      <c r="D23" s="736">
        <f>'Rozl.poż.pr.cel.-plan 2008-10'!D62</f>
        <v>1527</v>
      </c>
      <c r="E23" s="736">
        <f>'Rozl.poż.pr.cel.-plan 2008-10'!E62</f>
        <v>0</v>
      </c>
      <c r="F23" s="736">
        <f>'Rozl.poż.pr.cel.-plan 2008-10'!F62</f>
        <v>1527</v>
      </c>
      <c r="G23" s="736">
        <f>'Rozl.poż.pr.cel.-plan 2008-10'!G62</f>
        <v>0</v>
      </c>
      <c r="H23" s="736">
        <f>'Rozl.poż.pr.cel.-plan 2008-10'!H62</f>
        <v>0</v>
      </c>
      <c r="I23" s="738">
        <f>'Rozl.poż.pr.cel.-plan 2008-10'!I62</f>
        <v>0</v>
      </c>
      <c r="J23" s="739"/>
    </row>
    <row r="24" spans="1:11" x14ac:dyDescent="0.25">
      <c r="A24" s="733">
        <v>6</v>
      </c>
      <c r="B24" s="734" t="s">
        <v>636</v>
      </c>
      <c r="C24" s="735" t="s">
        <v>630</v>
      </c>
      <c r="D24" s="736">
        <f>'Rozl.poż.pr.cel.-plan 2008-10'!D63</f>
        <v>0</v>
      </c>
      <c r="E24" s="736">
        <f>'Rozl.poż.pr.cel.-plan 2008-10'!E63</f>
        <v>0</v>
      </c>
      <c r="F24" s="736">
        <f>'Rozl.poż.pr.cel.-plan 2008-10'!F63</f>
        <v>0</v>
      </c>
      <c r="G24" s="736">
        <f>'Rozl.poż.pr.cel.-plan 2008-10'!G63</f>
        <v>0</v>
      </c>
      <c r="H24" s="736">
        <f>'Rozl.poż.pr.cel.-plan 2008-10'!H63</f>
        <v>0</v>
      </c>
      <c r="I24" s="738">
        <f>'Rozl.poż.pr.cel.-plan 2008-10'!I63</f>
        <v>0</v>
      </c>
      <c r="J24" s="739"/>
    </row>
    <row r="25" spans="1:11" x14ac:dyDescent="0.25">
      <c r="A25" s="742"/>
      <c r="B25" s="743"/>
      <c r="C25" s="744"/>
      <c r="D25" s="751"/>
      <c r="E25" s="751"/>
      <c r="F25" s="751"/>
      <c r="G25" s="752"/>
      <c r="H25" s="752"/>
      <c r="I25" s="747"/>
    </row>
    <row r="26" spans="1:11" s="711" customFormat="1" x14ac:dyDescent="0.25">
      <c r="A26" s="753"/>
      <c r="B26" s="754"/>
      <c r="C26" s="755" t="s">
        <v>639</v>
      </c>
      <c r="D26" s="756"/>
      <c r="E26" s="756"/>
      <c r="F26" s="756"/>
      <c r="G26" s="756"/>
      <c r="H26" s="756"/>
      <c r="I26" s="757"/>
    </row>
    <row r="27" spans="1:11" x14ac:dyDescent="0.25">
      <c r="A27" s="733">
        <v>1</v>
      </c>
      <c r="B27" s="734" t="s">
        <v>629</v>
      </c>
      <c r="C27" s="735" t="s">
        <v>630</v>
      </c>
      <c r="D27" s="758">
        <f t="shared" ref="D27:I32" si="0">SUM(D11,D19)</f>
        <v>27280899</v>
      </c>
      <c r="E27" s="758">
        <f t="shared" si="0"/>
        <v>54900</v>
      </c>
      <c r="F27" s="758">
        <f t="shared" si="0"/>
        <v>495360</v>
      </c>
      <c r="G27" s="758">
        <f t="shared" si="0"/>
        <v>1622044</v>
      </c>
      <c r="H27" s="758">
        <f t="shared" si="0"/>
        <v>725771</v>
      </c>
      <c r="I27" s="759">
        <f t="shared" si="0"/>
        <v>24492624</v>
      </c>
      <c r="J27" s="739"/>
      <c r="K27" s="739"/>
    </row>
    <row r="28" spans="1:11" x14ac:dyDescent="0.25">
      <c r="A28" s="733">
        <v>2</v>
      </c>
      <c r="B28" s="734" t="s">
        <v>629</v>
      </c>
      <c r="C28" s="735" t="s">
        <v>631</v>
      </c>
      <c r="D28" s="758">
        <f t="shared" si="0"/>
        <v>0</v>
      </c>
      <c r="E28" s="758">
        <f t="shared" si="0"/>
        <v>0</v>
      </c>
      <c r="F28" s="758">
        <f t="shared" si="0"/>
        <v>0</v>
      </c>
      <c r="G28" s="758">
        <f t="shared" si="0"/>
        <v>0</v>
      </c>
      <c r="H28" s="758">
        <f t="shared" si="0"/>
        <v>0</v>
      </c>
      <c r="I28" s="759">
        <f t="shared" si="0"/>
        <v>0</v>
      </c>
      <c r="J28" s="739"/>
      <c r="K28" s="739"/>
    </row>
    <row r="29" spans="1:11" x14ac:dyDescent="0.25">
      <c r="A29" s="733">
        <v>3</v>
      </c>
      <c r="B29" s="734" t="s">
        <v>629</v>
      </c>
      <c r="C29" s="735" t="s">
        <v>632</v>
      </c>
      <c r="D29" s="758">
        <f t="shared" si="0"/>
        <v>24640559</v>
      </c>
      <c r="E29" s="758">
        <f t="shared" si="0"/>
        <v>0</v>
      </c>
      <c r="F29" s="758">
        <f t="shared" si="0"/>
        <v>962198</v>
      </c>
      <c r="G29" s="758">
        <f t="shared" si="0"/>
        <v>4000000</v>
      </c>
      <c r="H29" s="758">
        <f t="shared" si="0"/>
        <v>2035942</v>
      </c>
      <c r="I29" s="759">
        <f t="shared" si="0"/>
        <v>17642419</v>
      </c>
      <c r="J29" s="739"/>
      <c r="K29" s="739"/>
    </row>
    <row r="30" spans="1:11" x14ac:dyDescent="0.25">
      <c r="A30" s="733">
        <v>4</v>
      </c>
      <c r="B30" s="734" t="s">
        <v>633</v>
      </c>
      <c r="C30" s="735" t="s">
        <v>630</v>
      </c>
      <c r="D30" s="758">
        <f t="shared" si="0"/>
        <v>17642419</v>
      </c>
      <c r="E30" s="758">
        <f t="shared" si="0"/>
        <v>0</v>
      </c>
      <c r="F30" s="758">
        <f t="shared" si="0"/>
        <v>806050</v>
      </c>
      <c r="G30" s="758">
        <f t="shared" si="0"/>
        <v>4000000</v>
      </c>
      <c r="H30" s="758">
        <f t="shared" si="0"/>
        <v>2042218</v>
      </c>
      <c r="I30" s="759">
        <f t="shared" si="0"/>
        <v>10794151</v>
      </c>
      <c r="J30" s="739"/>
      <c r="K30" s="739"/>
    </row>
    <row r="31" spans="1:11" x14ac:dyDescent="0.25">
      <c r="A31" s="733">
        <v>5</v>
      </c>
      <c r="B31" s="734" t="s">
        <v>635</v>
      </c>
      <c r="C31" s="735" t="s">
        <v>630</v>
      </c>
      <c r="D31" s="758">
        <f t="shared" si="0"/>
        <v>10794151</v>
      </c>
      <c r="E31" s="758">
        <f t="shared" si="0"/>
        <v>0</v>
      </c>
      <c r="F31" s="758">
        <f t="shared" si="0"/>
        <v>701527</v>
      </c>
      <c r="G31" s="758">
        <f t="shared" si="0"/>
        <v>4000000</v>
      </c>
      <c r="H31" s="758">
        <f t="shared" si="0"/>
        <v>1800000</v>
      </c>
      <c r="I31" s="759">
        <f t="shared" si="0"/>
        <v>4292624</v>
      </c>
      <c r="J31" s="739"/>
      <c r="K31" s="739"/>
    </row>
    <row r="32" spans="1:11" x14ac:dyDescent="0.25">
      <c r="A32" s="733">
        <v>6</v>
      </c>
      <c r="B32" s="734" t="s">
        <v>636</v>
      </c>
      <c r="C32" s="735" t="s">
        <v>630</v>
      </c>
      <c r="D32" s="758">
        <f t="shared" si="0"/>
        <v>4292624</v>
      </c>
      <c r="E32" s="758">
        <f t="shared" si="0"/>
        <v>0</v>
      </c>
      <c r="F32" s="758">
        <f t="shared" si="0"/>
        <v>600000</v>
      </c>
      <c r="G32" s="758">
        <f t="shared" si="0"/>
        <v>3000000</v>
      </c>
      <c r="H32" s="758">
        <f t="shared" si="0"/>
        <v>692624</v>
      </c>
      <c r="I32" s="759">
        <f t="shared" si="0"/>
        <v>0</v>
      </c>
      <c r="J32" s="739"/>
      <c r="K32" s="739"/>
    </row>
    <row r="33" spans="1:11" x14ac:dyDescent="0.25">
      <c r="A33" s="760"/>
      <c r="B33" s="761"/>
      <c r="C33" s="762"/>
      <c r="D33" s="763"/>
      <c r="E33" s="763"/>
      <c r="F33" s="763"/>
      <c r="G33" s="764"/>
      <c r="H33" s="764"/>
      <c r="I33" s="765"/>
    </row>
    <row r="34" spans="1:11" x14ac:dyDescent="0.25">
      <c r="A34" s="728"/>
      <c r="B34" s="729"/>
      <c r="C34" s="730" t="s">
        <v>640</v>
      </c>
      <c r="D34" s="749"/>
      <c r="E34" s="749"/>
      <c r="F34" s="749"/>
      <c r="G34" s="749"/>
      <c r="H34" s="749"/>
      <c r="I34" s="766"/>
    </row>
    <row r="35" spans="1:11" x14ac:dyDescent="0.25">
      <c r="A35" s="733">
        <v>1</v>
      </c>
      <c r="B35" s="734" t="s">
        <v>629</v>
      </c>
      <c r="C35" s="735" t="s">
        <v>630</v>
      </c>
      <c r="D35" s="767">
        <v>0</v>
      </c>
      <c r="E35" s="767">
        <v>0</v>
      </c>
      <c r="F35" s="767">
        <v>0</v>
      </c>
      <c r="G35" s="737">
        <v>0</v>
      </c>
      <c r="H35" s="740" t="s">
        <v>634</v>
      </c>
      <c r="I35" s="768">
        <f>SUM(D35,E35)-SUM(F35,G35)</f>
        <v>0</v>
      </c>
      <c r="J35" s="739"/>
    </row>
    <row r="36" spans="1:11" x14ac:dyDescent="0.25">
      <c r="A36" s="733">
        <v>2</v>
      </c>
      <c r="B36" s="734" t="s">
        <v>629</v>
      </c>
      <c r="C36" s="735" t="s">
        <v>631</v>
      </c>
      <c r="D36" s="767"/>
      <c r="E36" s="767"/>
      <c r="F36" s="767"/>
      <c r="G36" s="737"/>
      <c r="H36" s="740"/>
      <c r="I36" s="768"/>
      <c r="J36" s="739"/>
    </row>
    <row r="37" spans="1:11" x14ac:dyDescent="0.25">
      <c r="A37" s="733">
        <v>3</v>
      </c>
      <c r="B37" s="734" t="s">
        <v>629</v>
      </c>
      <c r="C37" s="735" t="s">
        <v>632</v>
      </c>
      <c r="D37" s="767">
        <v>1571558.16</v>
      </c>
      <c r="E37" s="767">
        <v>1700000</v>
      </c>
      <c r="F37" s="767">
        <v>1600000</v>
      </c>
      <c r="G37" s="741">
        <v>5000</v>
      </c>
      <c r="H37" s="740" t="s">
        <v>634</v>
      </c>
      <c r="I37" s="768">
        <f>SUM(D37,E37)-SUM(F37,G37)</f>
        <v>1666558.1600000001</v>
      </c>
      <c r="J37" s="739"/>
    </row>
    <row r="38" spans="1:11" x14ac:dyDescent="0.25">
      <c r="A38" s="733">
        <v>4</v>
      </c>
      <c r="B38" s="734" t="s">
        <v>633</v>
      </c>
      <c r="C38" s="735" t="s">
        <v>630</v>
      </c>
      <c r="D38" s="767">
        <f>I37</f>
        <v>1666558.1600000001</v>
      </c>
      <c r="E38" s="767">
        <v>1750000</v>
      </c>
      <c r="F38" s="767">
        <v>1650000</v>
      </c>
      <c r="G38" s="741">
        <v>5000</v>
      </c>
      <c r="H38" s="740" t="s">
        <v>634</v>
      </c>
      <c r="I38" s="768">
        <f>SUM(D38,E38)-SUM(F38,G38)</f>
        <v>1761558.1600000001</v>
      </c>
      <c r="J38" s="739"/>
    </row>
    <row r="39" spans="1:11" x14ac:dyDescent="0.25">
      <c r="A39" s="733">
        <v>5</v>
      </c>
      <c r="B39" s="734" t="s">
        <v>635</v>
      </c>
      <c r="C39" s="735" t="s">
        <v>630</v>
      </c>
      <c r="D39" s="767">
        <f>I38</f>
        <v>1761558.1600000001</v>
      </c>
      <c r="E39" s="767">
        <v>1850000</v>
      </c>
      <c r="F39" s="767">
        <v>1800000</v>
      </c>
      <c r="G39" s="741">
        <v>5000</v>
      </c>
      <c r="H39" s="740" t="s">
        <v>634</v>
      </c>
      <c r="I39" s="768">
        <f>SUM(D39,E39)-SUM(F39,G39)</f>
        <v>1806558.1600000001</v>
      </c>
      <c r="J39" s="739"/>
    </row>
    <row r="40" spans="1:11" x14ac:dyDescent="0.25">
      <c r="A40" s="733">
        <v>6</v>
      </c>
      <c r="B40" s="734" t="s">
        <v>636</v>
      </c>
      <c r="C40" s="735" t="s">
        <v>630</v>
      </c>
      <c r="D40" s="767">
        <f>I39</f>
        <v>1806558.1600000001</v>
      </c>
      <c r="E40" s="767">
        <v>1850000</v>
      </c>
      <c r="F40" s="767">
        <v>1760000</v>
      </c>
      <c r="G40" s="741">
        <v>5000</v>
      </c>
      <c r="H40" s="740" t="s">
        <v>634</v>
      </c>
      <c r="I40" s="768">
        <f>SUM(D40,E40)-SUM(F40,G40)</f>
        <v>1891558.1600000001</v>
      </c>
      <c r="J40" s="739"/>
    </row>
    <row r="41" spans="1:11" x14ac:dyDescent="0.25">
      <c r="A41" s="769"/>
      <c r="B41" s="743"/>
      <c r="C41" s="744"/>
      <c r="D41" s="751"/>
      <c r="E41" s="751"/>
      <c r="F41" s="751"/>
      <c r="G41" s="752"/>
      <c r="H41" s="752"/>
      <c r="I41" s="770"/>
    </row>
    <row r="42" spans="1:11" x14ac:dyDescent="0.25">
      <c r="A42" s="771"/>
      <c r="B42" s="771"/>
      <c r="C42" s="772" t="s">
        <v>641</v>
      </c>
      <c r="D42" s="773"/>
      <c r="E42" s="773"/>
      <c r="F42" s="773"/>
      <c r="G42" s="773"/>
      <c r="H42" s="773"/>
      <c r="I42" s="774"/>
    </row>
    <row r="43" spans="1:11" x14ac:dyDescent="0.25">
      <c r="A43" s="733">
        <v>1</v>
      </c>
      <c r="B43" s="734" t="s">
        <v>629</v>
      </c>
      <c r="C43" s="735" t="s">
        <v>630</v>
      </c>
      <c r="D43" s="775">
        <f t="shared" ref="D43:I43" si="1">SUM(D27,D35)</f>
        <v>27280899</v>
      </c>
      <c r="E43" s="775">
        <f t="shared" si="1"/>
        <v>54900</v>
      </c>
      <c r="F43" s="775">
        <f t="shared" si="1"/>
        <v>495360</v>
      </c>
      <c r="G43" s="775">
        <f t="shared" si="1"/>
        <v>1622044</v>
      </c>
      <c r="H43" s="775">
        <f t="shared" si="1"/>
        <v>725771</v>
      </c>
      <c r="I43" s="776">
        <f t="shared" si="1"/>
        <v>24492624</v>
      </c>
      <c r="J43" s="739"/>
      <c r="K43" s="739"/>
    </row>
    <row r="44" spans="1:11" x14ac:dyDescent="0.25">
      <c r="A44" s="733">
        <v>2</v>
      </c>
      <c r="B44" s="734" t="s">
        <v>629</v>
      </c>
      <c r="C44" s="735" t="s">
        <v>631</v>
      </c>
      <c r="D44" s="775"/>
      <c r="E44" s="775"/>
      <c r="F44" s="775"/>
      <c r="G44" s="775"/>
      <c r="H44" s="775"/>
      <c r="I44" s="776"/>
      <c r="J44" s="739"/>
      <c r="K44" s="739"/>
    </row>
    <row r="45" spans="1:11" x14ac:dyDescent="0.25">
      <c r="A45" s="733">
        <v>3</v>
      </c>
      <c r="B45" s="734" t="s">
        <v>629</v>
      </c>
      <c r="C45" s="735" t="s">
        <v>632</v>
      </c>
      <c r="D45" s="775">
        <f t="shared" ref="D45:I48" si="2">SUM(D29,D37)</f>
        <v>26212117.16</v>
      </c>
      <c r="E45" s="775">
        <f t="shared" si="2"/>
        <v>1700000</v>
      </c>
      <c r="F45" s="775">
        <f t="shared" si="2"/>
        <v>2562198</v>
      </c>
      <c r="G45" s="775">
        <f t="shared" si="2"/>
        <v>4005000</v>
      </c>
      <c r="H45" s="775">
        <f t="shared" si="2"/>
        <v>2035942</v>
      </c>
      <c r="I45" s="776">
        <f t="shared" si="2"/>
        <v>19308977.16</v>
      </c>
      <c r="J45" s="739"/>
      <c r="K45" s="739"/>
    </row>
    <row r="46" spans="1:11" x14ac:dyDescent="0.25">
      <c r="A46" s="733">
        <v>4</v>
      </c>
      <c r="B46" s="734" t="s">
        <v>633</v>
      </c>
      <c r="C46" s="735" t="s">
        <v>630</v>
      </c>
      <c r="D46" s="775">
        <f t="shared" si="2"/>
        <v>19308977.16</v>
      </c>
      <c r="E46" s="775">
        <f t="shared" si="2"/>
        <v>1750000</v>
      </c>
      <c r="F46" s="775">
        <f t="shared" si="2"/>
        <v>2456050</v>
      </c>
      <c r="G46" s="775">
        <f t="shared" si="2"/>
        <v>4005000</v>
      </c>
      <c r="H46" s="775">
        <f t="shared" si="2"/>
        <v>2042218</v>
      </c>
      <c r="I46" s="776">
        <f t="shared" si="2"/>
        <v>12555709.16</v>
      </c>
      <c r="J46" s="739"/>
      <c r="K46" s="739"/>
    </row>
    <row r="47" spans="1:11" x14ac:dyDescent="0.25">
      <c r="A47" s="733">
        <v>5</v>
      </c>
      <c r="B47" s="734" t="s">
        <v>635</v>
      </c>
      <c r="C47" s="735" t="s">
        <v>630</v>
      </c>
      <c r="D47" s="775">
        <f t="shared" si="2"/>
        <v>12555709.16</v>
      </c>
      <c r="E47" s="775">
        <f t="shared" si="2"/>
        <v>1850000</v>
      </c>
      <c r="F47" s="775">
        <f t="shared" si="2"/>
        <v>2501527</v>
      </c>
      <c r="G47" s="775">
        <f t="shared" si="2"/>
        <v>4005000</v>
      </c>
      <c r="H47" s="775">
        <f t="shared" si="2"/>
        <v>1800000</v>
      </c>
      <c r="I47" s="776">
        <f t="shared" si="2"/>
        <v>6099182.1600000001</v>
      </c>
      <c r="J47" s="739"/>
      <c r="K47" s="739"/>
    </row>
    <row r="48" spans="1:11" x14ac:dyDescent="0.25">
      <c r="A48" s="733">
        <v>6</v>
      </c>
      <c r="B48" s="734" t="s">
        <v>636</v>
      </c>
      <c r="C48" s="735" t="s">
        <v>630</v>
      </c>
      <c r="D48" s="775">
        <f t="shared" si="2"/>
        <v>6099182.1600000001</v>
      </c>
      <c r="E48" s="775">
        <f t="shared" si="2"/>
        <v>1850000</v>
      </c>
      <c r="F48" s="775">
        <f t="shared" si="2"/>
        <v>2360000</v>
      </c>
      <c r="G48" s="775">
        <f t="shared" si="2"/>
        <v>3005000</v>
      </c>
      <c r="H48" s="775">
        <f t="shared" si="2"/>
        <v>692624</v>
      </c>
      <c r="I48" s="776">
        <f t="shared" si="2"/>
        <v>1891558.1600000001</v>
      </c>
      <c r="J48" s="739"/>
      <c r="K48" s="739"/>
    </row>
    <row r="49" spans="1:9" x14ac:dyDescent="0.25">
      <c r="A49" s="760"/>
      <c r="B49" s="761"/>
      <c r="C49" s="777"/>
      <c r="D49" s="778"/>
      <c r="E49" s="778"/>
      <c r="F49" s="778"/>
      <c r="G49" s="778"/>
      <c r="H49" s="778"/>
      <c r="I49" s="779"/>
    </row>
  </sheetData>
  <sheetProtection selectLockedCells="1" selectUnlockedCells="1"/>
  <mergeCells count="10">
    <mergeCell ref="A4:I4"/>
    <mergeCell ref="A5:I5"/>
    <mergeCell ref="A7:A8"/>
    <mergeCell ref="B7:C8"/>
    <mergeCell ref="D7:D8"/>
    <mergeCell ref="E7:E8"/>
    <mergeCell ref="F7:F8"/>
    <mergeCell ref="G7:G8"/>
    <mergeCell ref="H7:H8"/>
    <mergeCell ref="I7:I8"/>
  </mergeCells>
  <printOptions horizontalCentered="1"/>
  <pageMargins left="0.19652777777777777" right="0.19652777777777777" top="0.39374999999999999" bottom="0.59027777777777779" header="0.51180555555555551" footer="0"/>
  <pageSetup paperSize="9" scale="85" firstPageNumber="0" orientation="portrait" horizontalDpi="300" verticalDpi="300" r:id="rId1"/>
  <headerFooter alignWithMargins="0"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BreakPreview" topLeftCell="A16" zoomScale="75" zoomScaleNormal="75" zoomScaleSheetLayoutView="75" workbookViewId="0">
      <selection activeCell="H60" sqref="H60"/>
    </sheetView>
  </sheetViews>
  <sheetFormatPr defaultRowHeight="15.75" x14ac:dyDescent="0.25"/>
  <cols>
    <col min="1" max="1" width="4.5" style="712" customWidth="1"/>
    <col min="2" max="2" width="7" style="712" customWidth="1"/>
    <col min="3" max="3" width="31.625" customWidth="1"/>
    <col min="4" max="4" width="10.5" style="713" customWidth="1"/>
    <col min="5" max="7" width="10.5" style="780" customWidth="1"/>
    <col min="8" max="8" width="14.25" style="780" customWidth="1"/>
    <col min="9" max="9" width="10.5" style="781" customWidth="1"/>
    <col min="10" max="10" width="14.5" customWidth="1"/>
    <col min="11" max="11" width="9.125" customWidth="1"/>
  </cols>
  <sheetData>
    <row r="1" spans="1:10" x14ac:dyDescent="0.25">
      <c r="A1" s="715"/>
      <c r="B1" s="782"/>
      <c r="C1" s="783"/>
      <c r="D1" s="784"/>
      <c r="E1" s="785"/>
      <c r="F1" s="785"/>
      <c r="G1" s="785"/>
      <c r="H1" s="785"/>
      <c r="I1" s="710"/>
    </row>
    <row r="2" spans="1:10" x14ac:dyDescent="0.25">
      <c r="A2" s="715"/>
      <c r="B2" s="782"/>
      <c r="C2" s="783"/>
      <c r="D2" s="784"/>
      <c r="E2" s="785"/>
      <c r="F2" s="785"/>
      <c r="G2" s="785"/>
      <c r="H2" s="786"/>
      <c r="I2" s="787"/>
    </row>
    <row r="3" spans="1:10" ht="18.75" x14ac:dyDescent="0.3">
      <c r="A3" s="1081" t="s">
        <v>619</v>
      </c>
      <c r="B3" s="1081"/>
      <c r="C3" s="1081"/>
      <c r="D3" s="1081"/>
      <c r="E3" s="1081"/>
      <c r="F3" s="1081"/>
      <c r="G3" s="1081"/>
      <c r="H3" s="1081"/>
      <c r="I3" s="1081"/>
    </row>
    <row r="4" spans="1:10" ht="18.75" x14ac:dyDescent="0.3">
      <c r="A4" s="1081" t="s">
        <v>642</v>
      </c>
      <c r="B4" s="1081"/>
      <c r="C4" s="1081"/>
      <c r="D4" s="1081"/>
      <c r="E4" s="1081"/>
      <c r="F4" s="1081"/>
      <c r="G4" s="1081"/>
      <c r="H4" s="1081"/>
      <c r="I4" s="1081"/>
    </row>
    <row r="5" spans="1:10" ht="18.75" x14ac:dyDescent="0.3">
      <c r="A5" s="718"/>
      <c r="B5" s="788"/>
      <c r="C5" s="718"/>
      <c r="D5" s="789"/>
      <c r="E5" s="790"/>
      <c r="F5" s="790"/>
      <c r="G5" s="790"/>
      <c r="H5" s="790"/>
      <c r="I5" s="791" t="s">
        <v>621</v>
      </c>
    </row>
    <row r="6" spans="1:10" s="711" customFormat="1" ht="32.1" customHeight="1" x14ac:dyDescent="0.25">
      <c r="A6" s="1135" t="s">
        <v>551</v>
      </c>
      <c r="B6" s="1135" t="s">
        <v>521</v>
      </c>
      <c r="C6" s="1135"/>
      <c r="D6" s="1136" t="s">
        <v>622</v>
      </c>
      <c r="E6" s="1136" t="s">
        <v>623</v>
      </c>
      <c r="F6" s="1136" t="s">
        <v>624</v>
      </c>
      <c r="G6" s="1136" t="s">
        <v>625</v>
      </c>
      <c r="H6" s="1136" t="s">
        <v>626</v>
      </c>
      <c r="I6" s="1136" t="s">
        <v>627</v>
      </c>
    </row>
    <row r="7" spans="1:10" s="711" customFormat="1" ht="32.1" customHeight="1" x14ac:dyDescent="0.25">
      <c r="A7" s="1135"/>
      <c r="B7" s="1135"/>
      <c r="C7" s="1135"/>
      <c r="D7" s="1136"/>
      <c r="E7" s="1136"/>
      <c r="F7" s="1136"/>
      <c r="G7" s="1136"/>
      <c r="H7" s="1136"/>
      <c r="I7" s="1136"/>
    </row>
    <row r="8" spans="1:10" s="711" customFormat="1" x14ac:dyDescent="0.25">
      <c r="A8" s="723"/>
      <c r="B8" s="723"/>
      <c r="C8" s="792"/>
      <c r="D8" s="155"/>
      <c r="E8" s="793"/>
      <c r="F8" s="793"/>
      <c r="G8" s="794"/>
      <c r="H8" s="794"/>
      <c r="I8" s="793"/>
    </row>
    <row r="9" spans="1:10" x14ac:dyDescent="0.25">
      <c r="A9" s="728" t="s">
        <v>643</v>
      </c>
      <c r="B9" s="729"/>
      <c r="C9" s="730" t="s">
        <v>644</v>
      </c>
      <c r="D9" s="731"/>
      <c r="E9" s="795"/>
      <c r="F9" s="795"/>
      <c r="G9" s="795"/>
      <c r="H9" s="795"/>
      <c r="I9" s="796"/>
    </row>
    <row r="10" spans="1:10" x14ac:dyDescent="0.25">
      <c r="A10" s="733">
        <v>1</v>
      </c>
      <c r="B10" s="734" t="s">
        <v>629</v>
      </c>
      <c r="C10" s="735" t="s">
        <v>630</v>
      </c>
      <c r="D10" s="741">
        <v>0</v>
      </c>
      <c r="E10" s="797" t="s">
        <v>634</v>
      </c>
      <c r="F10" s="741">
        <v>0</v>
      </c>
      <c r="G10" s="797" t="s">
        <v>634</v>
      </c>
      <c r="H10" s="797" t="s">
        <v>634</v>
      </c>
      <c r="I10" s="741">
        <f t="shared" ref="I10:I15" si="0">SUM(D10,E10)-SUM(F10:H10)</f>
        <v>0</v>
      </c>
      <c r="J10" s="739"/>
    </row>
    <row r="11" spans="1:10" x14ac:dyDescent="0.25">
      <c r="A11" s="733">
        <v>2</v>
      </c>
      <c r="B11" s="734" t="s">
        <v>629</v>
      </c>
      <c r="C11" s="735" t="s">
        <v>631</v>
      </c>
      <c r="D11" s="741"/>
      <c r="E11" s="797" t="s">
        <v>634</v>
      </c>
      <c r="F11" s="741"/>
      <c r="G11" s="797" t="s">
        <v>634</v>
      </c>
      <c r="H11" s="741"/>
      <c r="I11" s="741">
        <f t="shared" si="0"/>
        <v>0</v>
      </c>
      <c r="J11" s="739"/>
    </row>
    <row r="12" spans="1:10" x14ac:dyDescent="0.25">
      <c r="A12" s="733">
        <v>3</v>
      </c>
      <c r="B12" s="734" t="s">
        <v>629</v>
      </c>
      <c r="C12" s="735" t="s">
        <v>632</v>
      </c>
      <c r="D12" s="741">
        <f>64618</f>
        <v>64618</v>
      </c>
      <c r="E12" s="797" t="s">
        <v>634</v>
      </c>
      <c r="F12" s="741">
        <f>1200</f>
        <v>1200</v>
      </c>
      <c r="G12" s="797" t="s">
        <v>634</v>
      </c>
      <c r="H12" s="741">
        <v>20000</v>
      </c>
      <c r="I12" s="741">
        <f t="shared" si="0"/>
        <v>43418</v>
      </c>
      <c r="J12" s="739"/>
    </row>
    <row r="13" spans="1:10" x14ac:dyDescent="0.25">
      <c r="A13" s="733">
        <v>4</v>
      </c>
      <c r="B13" s="734" t="s">
        <v>633</v>
      </c>
      <c r="C13" s="735" t="s">
        <v>630</v>
      </c>
      <c r="D13" s="741">
        <f>I12</f>
        <v>43418</v>
      </c>
      <c r="E13" s="797" t="s">
        <v>634</v>
      </c>
      <c r="F13" s="741">
        <v>1200</v>
      </c>
      <c r="G13" s="797" t="s">
        <v>634</v>
      </c>
      <c r="H13" s="741">
        <v>42218</v>
      </c>
      <c r="I13" s="741">
        <f t="shared" si="0"/>
        <v>0</v>
      </c>
      <c r="J13" s="739"/>
    </row>
    <row r="14" spans="1:10" x14ac:dyDescent="0.25">
      <c r="A14" s="733">
        <v>5</v>
      </c>
      <c r="B14" s="734" t="s">
        <v>635</v>
      </c>
      <c r="C14" s="735" t="s">
        <v>630</v>
      </c>
      <c r="D14" s="741">
        <f>I13</f>
        <v>0</v>
      </c>
      <c r="E14" s="797" t="s">
        <v>634</v>
      </c>
      <c r="F14" s="741">
        <v>0</v>
      </c>
      <c r="G14" s="797" t="s">
        <v>634</v>
      </c>
      <c r="H14" s="797" t="s">
        <v>634</v>
      </c>
      <c r="I14" s="741">
        <f t="shared" si="0"/>
        <v>0</v>
      </c>
      <c r="J14" s="739"/>
    </row>
    <row r="15" spans="1:10" x14ac:dyDescent="0.25">
      <c r="A15" s="733">
        <v>6</v>
      </c>
      <c r="B15" s="734" t="s">
        <v>636</v>
      </c>
      <c r="C15" s="735" t="s">
        <v>630</v>
      </c>
      <c r="D15" s="741">
        <f>I14</f>
        <v>0</v>
      </c>
      <c r="E15" s="797" t="s">
        <v>634</v>
      </c>
      <c r="F15" s="741">
        <v>0</v>
      </c>
      <c r="G15" s="797" t="s">
        <v>634</v>
      </c>
      <c r="H15" s="797" t="s">
        <v>634</v>
      </c>
      <c r="I15" s="741">
        <f t="shared" si="0"/>
        <v>0</v>
      </c>
      <c r="J15" s="739"/>
    </row>
    <row r="16" spans="1:10" x14ac:dyDescent="0.25">
      <c r="A16" s="742"/>
      <c r="B16" s="743"/>
      <c r="C16" s="798"/>
      <c r="D16" s="799"/>
      <c r="E16" s="800"/>
      <c r="F16" s="799"/>
      <c r="G16" s="799"/>
      <c r="H16" s="799"/>
      <c r="I16" s="801"/>
      <c r="J16" s="739"/>
    </row>
    <row r="17" spans="1:10" ht="16.5" customHeight="1" x14ac:dyDescent="0.25">
      <c r="A17" s="748" t="s">
        <v>645</v>
      </c>
      <c r="B17" s="729"/>
      <c r="C17" s="730" t="s">
        <v>646</v>
      </c>
      <c r="D17" s="802"/>
      <c r="E17" s="802"/>
      <c r="F17" s="802"/>
      <c r="G17" s="802"/>
      <c r="H17" s="802"/>
      <c r="I17" s="803"/>
      <c r="J17" s="739"/>
    </row>
    <row r="18" spans="1:10" x14ac:dyDescent="0.25">
      <c r="A18" s="733">
        <v>1</v>
      </c>
      <c r="B18" s="734" t="s">
        <v>629</v>
      </c>
      <c r="C18" s="735" t="s">
        <v>630</v>
      </c>
      <c r="D18" s="737"/>
      <c r="E18" s="797" t="s">
        <v>634</v>
      </c>
      <c r="F18" s="741">
        <v>0</v>
      </c>
      <c r="G18" s="737">
        <v>0</v>
      </c>
      <c r="H18" s="797" t="s">
        <v>634</v>
      </c>
      <c r="I18" s="804">
        <f t="shared" ref="I18:I23" si="1">SUM(D18,E18)-SUM(F18:H18)</f>
        <v>0</v>
      </c>
      <c r="J18" s="739"/>
    </row>
    <row r="19" spans="1:10" x14ac:dyDescent="0.25">
      <c r="A19" s="733">
        <v>2</v>
      </c>
      <c r="B19" s="734" t="s">
        <v>629</v>
      </c>
      <c r="C19" s="735" t="s">
        <v>631</v>
      </c>
      <c r="D19" s="737"/>
      <c r="E19" s="797"/>
      <c r="F19" s="741"/>
      <c r="G19" s="737"/>
      <c r="H19" s="797"/>
      <c r="I19" s="804">
        <f t="shared" si="1"/>
        <v>0</v>
      </c>
      <c r="J19" s="739"/>
    </row>
    <row r="20" spans="1:10" x14ac:dyDescent="0.25">
      <c r="A20" s="733">
        <v>3</v>
      </c>
      <c r="B20" s="734" t="s">
        <v>629</v>
      </c>
      <c r="C20" s="735" t="s">
        <v>632</v>
      </c>
      <c r="D20" s="737">
        <v>15942</v>
      </c>
      <c r="E20" s="797" t="s">
        <v>634</v>
      </c>
      <c r="F20" s="741">
        <v>0</v>
      </c>
      <c r="G20" s="797" t="s">
        <v>634</v>
      </c>
      <c r="H20" s="741">
        <v>15942</v>
      </c>
      <c r="I20" s="804">
        <f t="shared" si="1"/>
        <v>0</v>
      </c>
      <c r="J20" s="739"/>
    </row>
    <row r="21" spans="1:10" x14ac:dyDescent="0.25">
      <c r="A21" s="733">
        <v>4</v>
      </c>
      <c r="B21" s="734" t="s">
        <v>633</v>
      </c>
      <c r="C21" s="735" t="s">
        <v>630</v>
      </c>
      <c r="D21" s="737">
        <f>I20</f>
        <v>0</v>
      </c>
      <c r="E21" s="797" t="s">
        <v>634</v>
      </c>
      <c r="F21" s="741">
        <v>0</v>
      </c>
      <c r="G21" s="797" t="s">
        <v>634</v>
      </c>
      <c r="H21" s="741">
        <v>0</v>
      </c>
      <c r="I21" s="804">
        <f t="shared" si="1"/>
        <v>0</v>
      </c>
      <c r="J21" s="739"/>
    </row>
    <row r="22" spans="1:10" x14ac:dyDescent="0.25">
      <c r="A22" s="733">
        <v>5</v>
      </c>
      <c r="B22" s="734" t="s">
        <v>635</v>
      </c>
      <c r="C22" s="735" t="s">
        <v>630</v>
      </c>
      <c r="D22" s="737">
        <f>I21</f>
        <v>0</v>
      </c>
      <c r="E22" s="797"/>
      <c r="F22" s="741">
        <v>0</v>
      </c>
      <c r="G22" s="737"/>
      <c r="H22" s="797"/>
      <c r="I22" s="804">
        <f t="shared" si="1"/>
        <v>0</v>
      </c>
      <c r="J22" s="739"/>
    </row>
    <row r="23" spans="1:10" x14ac:dyDescent="0.25">
      <c r="A23" s="733">
        <v>6</v>
      </c>
      <c r="B23" s="734" t="s">
        <v>636</v>
      </c>
      <c r="C23" s="735" t="s">
        <v>630</v>
      </c>
      <c r="D23" s="737">
        <f>I22</f>
        <v>0</v>
      </c>
      <c r="E23" s="797"/>
      <c r="F23" s="741">
        <v>0</v>
      </c>
      <c r="G23" s="737">
        <v>0</v>
      </c>
      <c r="H23" s="797"/>
      <c r="I23" s="804">
        <f t="shared" si="1"/>
        <v>0</v>
      </c>
      <c r="J23" s="739"/>
    </row>
    <row r="24" spans="1:10" x14ac:dyDescent="0.25">
      <c r="A24" s="742"/>
      <c r="B24" s="743"/>
      <c r="C24" s="798"/>
      <c r="D24" s="805"/>
      <c r="E24" s="806"/>
      <c r="F24" s="805"/>
      <c r="G24" s="805"/>
      <c r="H24" s="805"/>
      <c r="I24" s="807"/>
      <c r="J24" s="739"/>
    </row>
    <row r="25" spans="1:10" x14ac:dyDescent="0.25">
      <c r="A25" s="748" t="s">
        <v>647</v>
      </c>
      <c r="B25" s="729"/>
      <c r="C25" s="730" t="s">
        <v>648</v>
      </c>
      <c r="D25" s="808"/>
      <c r="E25" s="808"/>
      <c r="F25" s="808"/>
      <c r="G25" s="808"/>
      <c r="H25" s="808"/>
      <c r="I25" s="750"/>
      <c r="J25" s="739"/>
    </row>
    <row r="26" spans="1:10" x14ac:dyDescent="0.25">
      <c r="A26" s="733">
        <v>1</v>
      </c>
      <c r="B26" s="734" t="s">
        <v>629</v>
      </c>
      <c r="C26" s="735" t="s">
        <v>630</v>
      </c>
      <c r="D26" s="809">
        <v>0</v>
      </c>
      <c r="E26" s="810" t="s">
        <v>634</v>
      </c>
      <c r="F26" s="809">
        <v>0</v>
      </c>
      <c r="G26" s="737">
        <v>0</v>
      </c>
      <c r="H26" s="810" t="s">
        <v>634</v>
      </c>
      <c r="I26" s="811">
        <f>SUM(D26:E26)-SUM(F26:H26)</f>
        <v>0</v>
      </c>
      <c r="J26" s="739"/>
    </row>
    <row r="27" spans="1:10" x14ac:dyDescent="0.25">
      <c r="A27" s="733">
        <v>2</v>
      </c>
      <c r="B27" s="734" t="s">
        <v>629</v>
      </c>
      <c r="C27" s="735" t="s">
        <v>631</v>
      </c>
      <c r="D27" s="810"/>
      <c r="E27" s="810"/>
      <c r="F27" s="810"/>
      <c r="G27" s="810"/>
      <c r="H27" s="810"/>
      <c r="I27" s="810"/>
      <c r="J27" s="739"/>
    </row>
    <row r="28" spans="1:10" x14ac:dyDescent="0.25">
      <c r="A28" s="733">
        <v>3</v>
      </c>
      <c r="B28" s="734" t="s">
        <v>629</v>
      </c>
      <c r="C28" s="735" t="s">
        <v>632</v>
      </c>
      <c r="D28" s="812">
        <v>0</v>
      </c>
      <c r="E28" s="810" t="s">
        <v>634</v>
      </c>
      <c r="F28" s="812">
        <v>0</v>
      </c>
      <c r="G28" s="810" t="s">
        <v>634</v>
      </c>
      <c r="H28" s="812">
        <v>0</v>
      </c>
      <c r="I28" s="813">
        <f>SUM(D28:E28)-SUM(F28:H28)</f>
        <v>0</v>
      </c>
      <c r="J28" s="739"/>
    </row>
    <row r="29" spans="1:10" x14ac:dyDescent="0.25">
      <c r="A29" s="733">
        <v>4</v>
      </c>
      <c r="B29" s="734" t="s">
        <v>633</v>
      </c>
      <c r="C29" s="735" t="s">
        <v>630</v>
      </c>
      <c r="D29" s="810"/>
      <c r="E29" s="810"/>
      <c r="F29" s="810"/>
      <c r="G29" s="810"/>
      <c r="H29" s="810"/>
      <c r="I29" s="810"/>
      <c r="J29" s="739"/>
    </row>
    <row r="30" spans="1:10" x14ac:dyDescent="0.25">
      <c r="A30" s="733">
        <v>5</v>
      </c>
      <c r="B30" s="734" t="s">
        <v>635</v>
      </c>
      <c r="C30" s="735" t="s">
        <v>630</v>
      </c>
      <c r="D30" s="810"/>
      <c r="E30" s="810"/>
      <c r="F30" s="810"/>
      <c r="G30" s="810"/>
      <c r="H30" s="810"/>
      <c r="I30" s="810"/>
      <c r="J30" s="739"/>
    </row>
    <row r="31" spans="1:10" x14ac:dyDescent="0.25">
      <c r="A31" s="733">
        <v>6</v>
      </c>
      <c r="B31" s="734" t="s">
        <v>636</v>
      </c>
      <c r="C31" s="735" t="s">
        <v>630</v>
      </c>
      <c r="D31" s="810"/>
      <c r="E31" s="810"/>
      <c r="F31" s="810"/>
      <c r="G31" s="810"/>
      <c r="H31" s="810"/>
      <c r="I31" s="810"/>
      <c r="J31" s="739"/>
    </row>
    <row r="32" spans="1:10" x14ac:dyDescent="0.25">
      <c r="A32" s="742"/>
      <c r="B32" s="743"/>
      <c r="C32" s="798"/>
      <c r="D32" s="805"/>
      <c r="E32" s="806"/>
      <c r="F32" s="805"/>
      <c r="G32" s="805"/>
      <c r="H32" s="805"/>
      <c r="I32" s="814"/>
      <c r="J32" s="739"/>
    </row>
    <row r="33" spans="1:10" x14ac:dyDescent="0.25">
      <c r="A33" s="748" t="s">
        <v>649</v>
      </c>
      <c r="B33" s="729"/>
      <c r="C33" s="730" t="s">
        <v>650</v>
      </c>
      <c r="D33" s="808"/>
      <c r="E33" s="808"/>
      <c r="F33" s="808"/>
      <c r="G33" s="808"/>
      <c r="H33" s="808"/>
      <c r="I33" s="750"/>
      <c r="J33" s="739"/>
    </row>
    <row r="34" spans="1:10" x14ac:dyDescent="0.25">
      <c r="A34" s="733">
        <v>1</v>
      </c>
      <c r="B34" s="734" t="s">
        <v>629</v>
      </c>
      <c r="C34" s="735" t="s">
        <v>630</v>
      </c>
      <c r="D34" s="737">
        <v>0</v>
      </c>
      <c r="E34" s="810" t="s">
        <v>634</v>
      </c>
      <c r="F34" s="809">
        <v>0</v>
      </c>
      <c r="G34" s="809">
        <v>0</v>
      </c>
      <c r="H34" s="810" t="s">
        <v>634</v>
      </c>
      <c r="I34" s="768">
        <f>SUM(D34,E34)-SUM(F34:H34)</f>
        <v>0</v>
      </c>
      <c r="J34" s="739"/>
    </row>
    <row r="35" spans="1:10" x14ac:dyDescent="0.25">
      <c r="A35" s="733">
        <v>2</v>
      </c>
      <c r="B35" s="734" t="s">
        <v>629</v>
      </c>
      <c r="C35" s="735" t="s">
        <v>631</v>
      </c>
      <c r="D35" s="737"/>
      <c r="E35" s="810"/>
      <c r="F35" s="809"/>
      <c r="G35" s="809"/>
      <c r="H35" s="810"/>
      <c r="I35" s="768"/>
      <c r="J35" s="739"/>
    </row>
    <row r="36" spans="1:10" x14ac:dyDescent="0.25">
      <c r="A36" s="733">
        <v>3</v>
      </c>
      <c r="B36" s="734" t="s">
        <v>629</v>
      </c>
      <c r="C36" s="735" t="s">
        <v>632</v>
      </c>
      <c r="D36" s="737">
        <v>54996</v>
      </c>
      <c r="E36" s="810" t="s">
        <v>634</v>
      </c>
      <c r="F36" s="809">
        <v>48912</v>
      </c>
      <c r="G36" s="809">
        <v>0</v>
      </c>
      <c r="H36" s="812">
        <v>0</v>
      </c>
      <c r="I36" s="768">
        <f>SUM(D36,E36)-SUM(F36:H36)</f>
        <v>6084</v>
      </c>
      <c r="J36" s="739"/>
    </row>
    <row r="37" spans="1:10" x14ac:dyDescent="0.25">
      <c r="A37" s="733">
        <v>4</v>
      </c>
      <c r="B37" s="734" t="s">
        <v>633</v>
      </c>
      <c r="C37" s="735" t="s">
        <v>630</v>
      </c>
      <c r="D37" s="737">
        <f>I36</f>
        <v>6084</v>
      </c>
      <c r="E37" s="810" t="s">
        <v>634</v>
      </c>
      <c r="F37" s="809">
        <v>4557</v>
      </c>
      <c r="G37" s="809">
        <v>0</v>
      </c>
      <c r="H37" s="812">
        <v>0</v>
      </c>
      <c r="I37" s="768">
        <f>SUM(D37,E37)-SUM(F37:H37)</f>
        <v>1527</v>
      </c>
      <c r="J37" s="739"/>
    </row>
    <row r="38" spans="1:10" x14ac:dyDescent="0.25">
      <c r="A38" s="733">
        <v>5</v>
      </c>
      <c r="B38" s="734" t="s">
        <v>635</v>
      </c>
      <c r="C38" s="735" t="s">
        <v>630</v>
      </c>
      <c r="D38" s="737">
        <f>I37</f>
        <v>1527</v>
      </c>
      <c r="E38" s="810" t="s">
        <v>634</v>
      </c>
      <c r="F38" s="809">
        <v>1527</v>
      </c>
      <c r="G38" s="809">
        <v>0</v>
      </c>
      <c r="H38" s="812">
        <v>0</v>
      </c>
      <c r="I38" s="768">
        <f>SUM(D38,E38)-SUM(F38:H38)</f>
        <v>0</v>
      </c>
      <c r="J38" s="739"/>
    </row>
    <row r="39" spans="1:10" x14ac:dyDescent="0.25">
      <c r="A39" s="733">
        <v>6</v>
      </c>
      <c r="B39" s="734" t="s">
        <v>636</v>
      </c>
      <c r="C39" s="735" t="s">
        <v>630</v>
      </c>
      <c r="D39" s="737">
        <f>I38</f>
        <v>0</v>
      </c>
      <c r="E39" s="810" t="s">
        <v>634</v>
      </c>
      <c r="F39" s="809">
        <v>0</v>
      </c>
      <c r="G39" s="809">
        <v>0</v>
      </c>
      <c r="H39" s="809">
        <v>0</v>
      </c>
      <c r="I39" s="768">
        <f>SUM(D39,E39)-SUM(F39:H39)</f>
        <v>0</v>
      </c>
      <c r="J39" s="739"/>
    </row>
    <row r="40" spans="1:10" x14ac:dyDescent="0.25">
      <c r="A40" s="742"/>
      <c r="B40" s="743"/>
      <c r="C40" s="798"/>
      <c r="D40" s="805"/>
      <c r="E40" s="806"/>
      <c r="F40" s="805"/>
      <c r="G40" s="805"/>
      <c r="H40" s="805"/>
      <c r="I40" s="814"/>
      <c r="J40" s="739"/>
    </row>
    <row r="41" spans="1:10" s="711" customFormat="1" x14ac:dyDescent="0.25">
      <c r="A41" s="815" t="s">
        <v>651</v>
      </c>
      <c r="B41" s="816"/>
      <c r="C41" s="816" t="s">
        <v>652</v>
      </c>
      <c r="D41" s="817"/>
      <c r="E41" s="817"/>
      <c r="F41" s="817"/>
      <c r="G41" s="817"/>
      <c r="H41" s="817"/>
      <c r="I41" s="818"/>
      <c r="J41" s="739"/>
    </row>
    <row r="42" spans="1:10" x14ac:dyDescent="0.25">
      <c r="A42" s="733">
        <v>1</v>
      </c>
      <c r="B42" s="734" t="s">
        <v>629</v>
      </c>
      <c r="C42" s="735" t="s">
        <v>630</v>
      </c>
      <c r="D42" s="737">
        <v>0</v>
      </c>
      <c r="E42" s="740" t="s">
        <v>634</v>
      </c>
      <c r="F42" s="737">
        <v>0</v>
      </c>
      <c r="G42" s="809">
        <v>0</v>
      </c>
      <c r="H42" s="810" t="s">
        <v>634</v>
      </c>
      <c r="I42" s="819">
        <f>SUM(D42:E42)-SUM(F42:H42)</f>
        <v>0</v>
      </c>
      <c r="J42" s="739"/>
    </row>
    <row r="43" spans="1:10" x14ac:dyDescent="0.25">
      <c r="A43" s="733">
        <v>2</v>
      </c>
      <c r="B43" s="734" t="s">
        <v>629</v>
      </c>
      <c r="C43" s="735" t="s">
        <v>631</v>
      </c>
      <c r="D43" s="740"/>
      <c r="E43" s="740"/>
      <c r="F43" s="740"/>
      <c r="G43" s="740"/>
      <c r="H43" s="740"/>
      <c r="I43" s="740"/>
      <c r="J43" s="739"/>
    </row>
    <row r="44" spans="1:10" x14ac:dyDescent="0.25">
      <c r="A44" s="733">
        <v>3</v>
      </c>
      <c r="B44" s="734" t="s">
        <v>629</v>
      </c>
      <c r="C44" s="735" t="s">
        <v>632</v>
      </c>
      <c r="D44" s="741">
        <v>12379</v>
      </c>
      <c r="E44" s="740" t="s">
        <v>634</v>
      </c>
      <c r="F44" s="741">
        <v>12086</v>
      </c>
      <c r="G44" s="741">
        <v>0</v>
      </c>
      <c r="H44" s="741">
        <v>0</v>
      </c>
      <c r="I44" s="820">
        <f>SUM(D44:E44)-SUM(F44:H44)</f>
        <v>293</v>
      </c>
      <c r="J44" s="739"/>
    </row>
    <row r="45" spans="1:10" x14ac:dyDescent="0.25">
      <c r="A45" s="733">
        <v>4</v>
      </c>
      <c r="B45" s="734" t="s">
        <v>633</v>
      </c>
      <c r="C45" s="735" t="s">
        <v>630</v>
      </c>
      <c r="D45" s="741">
        <f>I44</f>
        <v>293</v>
      </c>
      <c r="E45" s="740" t="s">
        <v>634</v>
      </c>
      <c r="F45" s="741">
        <v>293</v>
      </c>
      <c r="G45" s="741">
        <v>0</v>
      </c>
      <c r="H45" s="740" t="s">
        <v>634</v>
      </c>
      <c r="I45" s="820">
        <f>SUM(D45:E45)-SUM(F45:H45)</f>
        <v>0</v>
      </c>
      <c r="J45" s="739"/>
    </row>
    <row r="46" spans="1:10" x14ac:dyDescent="0.25">
      <c r="A46" s="733">
        <v>5</v>
      </c>
      <c r="B46" s="734" t="s">
        <v>635</v>
      </c>
      <c r="C46" s="735" t="s">
        <v>630</v>
      </c>
      <c r="D46" s="741">
        <f>I45</f>
        <v>0</v>
      </c>
      <c r="E46" s="740" t="s">
        <v>634</v>
      </c>
      <c r="F46" s="741">
        <v>0</v>
      </c>
      <c r="G46" s="741">
        <v>0</v>
      </c>
      <c r="H46" s="740" t="s">
        <v>634</v>
      </c>
      <c r="I46" s="820">
        <f>SUM(D46:E46)-SUM(F46:H46)</f>
        <v>0</v>
      </c>
      <c r="J46" s="739"/>
    </row>
    <row r="47" spans="1:10" x14ac:dyDescent="0.25">
      <c r="A47" s="733">
        <v>6</v>
      </c>
      <c r="B47" s="734" t="s">
        <v>636</v>
      </c>
      <c r="C47" s="735" t="s">
        <v>630</v>
      </c>
      <c r="D47" s="741">
        <f>I46</f>
        <v>0</v>
      </c>
      <c r="E47" s="740" t="s">
        <v>634</v>
      </c>
      <c r="F47" s="741">
        <v>0</v>
      </c>
      <c r="G47" s="740" t="s">
        <v>634</v>
      </c>
      <c r="H47" s="740" t="s">
        <v>634</v>
      </c>
      <c r="I47" s="820">
        <f>SUM(D47:E47)-SUM(F47:H47)</f>
        <v>0</v>
      </c>
      <c r="J47" s="739"/>
    </row>
    <row r="48" spans="1:10" x14ac:dyDescent="0.25">
      <c r="A48" s="821"/>
      <c r="B48" s="734"/>
      <c r="C48" s="724"/>
      <c r="D48" s="822"/>
      <c r="E48" s="823"/>
      <c r="F48" s="822"/>
      <c r="G48" s="823"/>
      <c r="H48" s="823"/>
      <c r="I48" s="824"/>
      <c r="J48" s="739"/>
    </row>
    <row r="49" spans="1:10" s="711" customFormat="1" x14ac:dyDescent="0.25">
      <c r="A49" s="815" t="s">
        <v>653</v>
      </c>
      <c r="B49" s="816"/>
      <c r="C49" s="816" t="s">
        <v>654</v>
      </c>
      <c r="D49" s="817"/>
      <c r="E49" s="817"/>
      <c r="F49" s="817"/>
      <c r="G49" s="817"/>
      <c r="H49" s="817"/>
      <c r="I49" s="818"/>
      <c r="J49" s="739"/>
    </row>
    <row r="50" spans="1:10" x14ac:dyDescent="0.25">
      <c r="A50" s="733">
        <v>1</v>
      </c>
      <c r="B50" s="734" t="s">
        <v>629</v>
      </c>
      <c r="C50" s="735" t="s">
        <v>630</v>
      </c>
      <c r="D50" s="737">
        <v>0</v>
      </c>
      <c r="E50" s="740" t="s">
        <v>634</v>
      </c>
      <c r="F50" s="737">
        <v>0</v>
      </c>
      <c r="G50" s="809">
        <v>0</v>
      </c>
      <c r="H50" s="810" t="s">
        <v>634</v>
      </c>
      <c r="I50" s="819">
        <f>SUM(D50:E50)-SUM(F50:H50)</f>
        <v>0</v>
      </c>
      <c r="J50" s="739"/>
    </row>
    <row r="51" spans="1:10" x14ac:dyDescent="0.25">
      <c r="A51" s="733">
        <v>2</v>
      </c>
      <c r="B51" s="734" t="s">
        <v>629</v>
      </c>
      <c r="C51" s="735" t="s">
        <v>631</v>
      </c>
      <c r="D51" s="737">
        <v>0</v>
      </c>
      <c r="E51" s="740"/>
      <c r="F51" s="737">
        <v>0</v>
      </c>
      <c r="G51" s="809">
        <v>0</v>
      </c>
      <c r="H51" s="740"/>
      <c r="I51" s="740"/>
      <c r="J51" s="739"/>
    </row>
    <row r="52" spans="1:10" x14ac:dyDescent="0.25">
      <c r="A52" s="733">
        <v>3</v>
      </c>
      <c r="B52" s="734" t="s">
        <v>629</v>
      </c>
      <c r="C52" s="735" t="s">
        <v>632</v>
      </c>
      <c r="D52" s="737">
        <v>0</v>
      </c>
      <c r="E52" s="740" t="s">
        <v>634</v>
      </c>
      <c r="F52" s="737">
        <v>0</v>
      </c>
      <c r="G52" s="809">
        <v>0</v>
      </c>
      <c r="H52" s="741">
        <v>0</v>
      </c>
      <c r="I52" s="820">
        <f>SUM(D52:E52)-SUM(F52:H52)</f>
        <v>0</v>
      </c>
      <c r="J52" s="739"/>
    </row>
    <row r="53" spans="1:10" x14ac:dyDescent="0.25">
      <c r="A53" s="733">
        <v>4</v>
      </c>
      <c r="B53" s="734" t="s">
        <v>633</v>
      </c>
      <c r="C53" s="735" t="s">
        <v>630</v>
      </c>
      <c r="D53" s="737">
        <v>0</v>
      </c>
      <c r="E53" s="740" t="s">
        <v>634</v>
      </c>
      <c r="F53" s="737">
        <v>0</v>
      </c>
      <c r="G53" s="809">
        <v>0</v>
      </c>
      <c r="H53" s="740" t="s">
        <v>634</v>
      </c>
      <c r="I53" s="820">
        <f>SUM(D53:E53)-SUM(F53:H53)</f>
        <v>0</v>
      </c>
      <c r="J53" s="739"/>
    </row>
    <row r="54" spans="1:10" x14ac:dyDescent="0.25">
      <c r="A54" s="733">
        <v>5</v>
      </c>
      <c r="B54" s="734" t="s">
        <v>635</v>
      </c>
      <c r="C54" s="735" t="s">
        <v>630</v>
      </c>
      <c r="D54" s="737">
        <v>0</v>
      </c>
      <c r="E54" s="740" t="s">
        <v>634</v>
      </c>
      <c r="F54" s="737">
        <v>0</v>
      </c>
      <c r="G54" s="809">
        <v>0</v>
      </c>
      <c r="H54" s="740" t="s">
        <v>634</v>
      </c>
      <c r="I54" s="820">
        <f>SUM(D54:E54)-SUM(F54:H54)</f>
        <v>0</v>
      </c>
      <c r="J54" s="739"/>
    </row>
    <row r="55" spans="1:10" x14ac:dyDescent="0.25">
      <c r="A55" s="733">
        <v>6</v>
      </c>
      <c r="B55" s="734" t="s">
        <v>636</v>
      </c>
      <c r="C55" s="735" t="s">
        <v>630</v>
      </c>
      <c r="D55" s="737">
        <v>0</v>
      </c>
      <c r="E55" s="740" t="s">
        <v>634</v>
      </c>
      <c r="F55" s="737">
        <v>0</v>
      </c>
      <c r="G55" s="809">
        <v>0</v>
      </c>
      <c r="H55" s="740" t="s">
        <v>634</v>
      </c>
      <c r="I55" s="820">
        <f>SUM(D55:E55)-SUM(F55:H55)</f>
        <v>0</v>
      </c>
      <c r="J55" s="739"/>
    </row>
    <row r="56" spans="1:10" x14ac:dyDescent="0.25">
      <c r="A56" s="769"/>
      <c r="B56" s="743"/>
      <c r="C56" s="798"/>
      <c r="D56" s="805"/>
      <c r="E56" s="806"/>
      <c r="F56" s="805"/>
      <c r="G56" s="805"/>
      <c r="H56" s="805"/>
      <c r="I56" s="825"/>
      <c r="J56" s="739"/>
    </row>
    <row r="57" spans="1:10" x14ac:dyDescent="0.25">
      <c r="A57" s="771"/>
      <c r="B57" s="771"/>
      <c r="C57" s="772" t="s">
        <v>655</v>
      </c>
      <c r="D57" s="826"/>
      <c r="E57" s="826"/>
      <c r="F57" s="826"/>
      <c r="G57" s="826"/>
      <c r="H57" s="826"/>
      <c r="I57" s="774"/>
      <c r="J57" s="739"/>
    </row>
    <row r="58" spans="1:10" x14ac:dyDescent="0.25">
      <c r="A58" s="733">
        <v>1</v>
      </c>
      <c r="B58" s="734" t="s">
        <v>629</v>
      </c>
      <c r="C58" s="735" t="s">
        <v>630</v>
      </c>
      <c r="D58" s="737">
        <f t="shared" ref="D58:I63" si="2">SUM(D10,D18,D26,D34,D42,D50)</f>
        <v>0</v>
      </c>
      <c r="E58" s="737">
        <f t="shared" si="2"/>
        <v>0</v>
      </c>
      <c r="F58" s="737">
        <f t="shared" si="2"/>
        <v>0</v>
      </c>
      <c r="G58" s="737">
        <f t="shared" si="2"/>
        <v>0</v>
      </c>
      <c r="H58" s="737">
        <f t="shared" si="2"/>
        <v>0</v>
      </c>
      <c r="I58" s="819">
        <f t="shared" si="2"/>
        <v>0</v>
      </c>
      <c r="J58" s="739"/>
    </row>
    <row r="59" spans="1:10" x14ac:dyDescent="0.25">
      <c r="A59" s="733">
        <v>2</v>
      </c>
      <c r="B59" s="734" t="s">
        <v>629</v>
      </c>
      <c r="C59" s="735" t="s">
        <v>631</v>
      </c>
      <c r="D59" s="737">
        <f t="shared" si="2"/>
        <v>0</v>
      </c>
      <c r="E59" s="737">
        <f t="shared" si="2"/>
        <v>0</v>
      </c>
      <c r="F59" s="737">
        <f t="shared" si="2"/>
        <v>0</v>
      </c>
      <c r="G59" s="737">
        <f t="shared" si="2"/>
        <v>0</v>
      </c>
      <c r="H59" s="737">
        <f t="shared" si="2"/>
        <v>0</v>
      </c>
      <c r="I59" s="819">
        <f t="shared" si="2"/>
        <v>0</v>
      </c>
      <c r="J59" s="739"/>
    </row>
    <row r="60" spans="1:10" x14ac:dyDescent="0.25">
      <c r="A60" s="733">
        <v>3</v>
      </c>
      <c r="B60" s="734" t="s">
        <v>629</v>
      </c>
      <c r="C60" s="735" t="s">
        <v>632</v>
      </c>
      <c r="D60" s="737">
        <f t="shared" si="2"/>
        <v>147935</v>
      </c>
      <c r="E60" s="737">
        <f t="shared" si="2"/>
        <v>0</v>
      </c>
      <c r="F60" s="737">
        <f t="shared" si="2"/>
        <v>62198</v>
      </c>
      <c r="G60" s="737">
        <f t="shared" si="2"/>
        <v>0</v>
      </c>
      <c r="H60" s="737">
        <f t="shared" si="2"/>
        <v>35942</v>
      </c>
      <c r="I60" s="819">
        <f t="shared" si="2"/>
        <v>49795</v>
      </c>
      <c r="J60" s="739"/>
    </row>
    <row r="61" spans="1:10" x14ac:dyDescent="0.25">
      <c r="A61" s="733">
        <v>4</v>
      </c>
      <c r="B61" s="734" t="s">
        <v>633</v>
      </c>
      <c r="C61" s="735" t="s">
        <v>630</v>
      </c>
      <c r="D61" s="737">
        <f t="shared" si="2"/>
        <v>49795</v>
      </c>
      <c r="E61" s="737">
        <f t="shared" si="2"/>
        <v>0</v>
      </c>
      <c r="F61" s="737">
        <f t="shared" si="2"/>
        <v>6050</v>
      </c>
      <c r="G61" s="737">
        <f t="shared" si="2"/>
        <v>0</v>
      </c>
      <c r="H61" s="737">
        <f t="shared" si="2"/>
        <v>42218</v>
      </c>
      <c r="I61" s="819">
        <f t="shared" si="2"/>
        <v>1527</v>
      </c>
      <c r="J61" s="739"/>
    </row>
    <row r="62" spans="1:10" x14ac:dyDescent="0.25">
      <c r="A62" s="733">
        <v>5</v>
      </c>
      <c r="B62" s="734" t="s">
        <v>635</v>
      </c>
      <c r="C62" s="735" t="s">
        <v>630</v>
      </c>
      <c r="D62" s="737">
        <f t="shared" si="2"/>
        <v>1527</v>
      </c>
      <c r="E62" s="737">
        <f t="shared" si="2"/>
        <v>0</v>
      </c>
      <c r="F62" s="737">
        <f t="shared" si="2"/>
        <v>1527</v>
      </c>
      <c r="G62" s="737">
        <f t="shared" si="2"/>
        <v>0</v>
      </c>
      <c r="H62" s="737">
        <f t="shared" si="2"/>
        <v>0</v>
      </c>
      <c r="I62" s="819">
        <f t="shared" si="2"/>
        <v>0</v>
      </c>
      <c r="J62" s="739"/>
    </row>
    <row r="63" spans="1:10" x14ac:dyDescent="0.25">
      <c r="A63" s="733">
        <v>6</v>
      </c>
      <c r="B63" s="734" t="s">
        <v>636</v>
      </c>
      <c r="C63" s="735" t="s">
        <v>630</v>
      </c>
      <c r="D63" s="737">
        <f t="shared" si="2"/>
        <v>0</v>
      </c>
      <c r="E63" s="737">
        <f t="shared" si="2"/>
        <v>0</v>
      </c>
      <c r="F63" s="737">
        <f t="shared" si="2"/>
        <v>0</v>
      </c>
      <c r="G63" s="737">
        <f t="shared" si="2"/>
        <v>0</v>
      </c>
      <c r="H63" s="737">
        <f t="shared" si="2"/>
        <v>0</v>
      </c>
      <c r="I63" s="819">
        <f t="shared" si="2"/>
        <v>0</v>
      </c>
      <c r="J63" s="739"/>
    </row>
    <row r="64" spans="1:10" x14ac:dyDescent="0.25">
      <c r="A64" s="760"/>
      <c r="B64" s="827"/>
      <c r="C64" s="828"/>
      <c r="D64" s="778"/>
      <c r="E64" s="829"/>
      <c r="F64" s="829"/>
      <c r="G64" s="829"/>
      <c r="H64" s="829"/>
      <c r="I64" s="830"/>
    </row>
    <row r="65" spans="1:9" x14ac:dyDescent="0.25">
      <c r="A65" s="831"/>
      <c r="B65" s="832"/>
      <c r="C65" s="724"/>
      <c r="D65" s="833"/>
      <c r="E65" s="834"/>
      <c r="F65" s="834"/>
      <c r="G65" s="834"/>
      <c r="H65" s="834"/>
      <c r="I65" s="835"/>
    </row>
    <row r="66" spans="1:9" x14ac:dyDescent="0.25">
      <c r="A66" s="831"/>
      <c r="B66" s="832"/>
      <c r="C66" s="724"/>
      <c r="D66" s="833"/>
      <c r="E66" s="834"/>
      <c r="F66" s="834"/>
      <c r="G66" s="834"/>
      <c r="H66" s="834"/>
      <c r="I66" s="835"/>
    </row>
    <row r="67" spans="1:9" x14ac:dyDescent="0.25">
      <c r="A67" s="831"/>
      <c r="B67" s="832"/>
      <c r="C67" s="724"/>
      <c r="D67" s="833"/>
      <c r="E67" s="834"/>
      <c r="F67" s="834"/>
      <c r="G67" s="834"/>
      <c r="H67" s="834"/>
      <c r="I67" s="835"/>
    </row>
    <row r="68" spans="1:9" x14ac:dyDescent="0.25">
      <c r="A68" s="831"/>
      <c r="B68" s="832"/>
      <c r="C68" s="724"/>
      <c r="F68" s="780" t="s">
        <v>202</v>
      </c>
      <c r="G68" s="713" t="e">
        <f>SUM("$#ODWOŁANIE$#ODWOŁANIE","$#ODWOŁANIE$#ODWOŁANIE","$#ODWOŁANIE$#ODWOŁANIE","$#ODWOŁANIE$#ODWOŁANIE")</f>
        <v>#VALUE!</v>
      </c>
    </row>
    <row r="69" spans="1:9" x14ac:dyDescent="0.25">
      <c r="G69" s="713">
        <f>SUM(G10,G18,G34,G42)</f>
        <v>0</v>
      </c>
    </row>
    <row r="70" spans="1:9" x14ac:dyDescent="0.25">
      <c r="G70" s="713">
        <f>SUM(G11,G19,G35,G43)</f>
        <v>0</v>
      </c>
    </row>
    <row r="71" spans="1:9" x14ac:dyDescent="0.25">
      <c r="G71" s="713">
        <f>SUM(G12,G20,G36,G44)</f>
        <v>0</v>
      </c>
    </row>
    <row r="73" spans="1:9" x14ac:dyDescent="0.25">
      <c r="F73" s="780" t="s">
        <v>182</v>
      </c>
      <c r="G73" s="713" t="e">
        <f>SUM("$#ODWOŁANIE$#ODWOŁANIE","$#ODWOŁANIE$#ODWOŁANIE")+"$'Rozl. poż. og.-plan 2008-10'.$#ODWOŁANIE$#ODWOŁANIE"</f>
        <v>#VALUE!</v>
      </c>
    </row>
    <row r="74" spans="1:9" x14ac:dyDescent="0.25">
      <c r="G74" s="713" t="e">
        <f>SUM(G26,"$#ODWOŁANIE$#ODWOŁANIE")+'Rozl. poż. og.-plan 2008-10'!G11</f>
        <v>#VALUE!</v>
      </c>
    </row>
    <row r="75" spans="1:9" x14ac:dyDescent="0.25">
      <c r="G75" s="713" t="e">
        <f>SUM(G27,"$#ODWOŁANIE$#ODWOŁANIE")+'Rozl. poż. og.-plan 2008-10'!G12</f>
        <v>#VALUE!</v>
      </c>
    </row>
    <row r="76" spans="1:9" x14ac:dyDescent="0.25">
      <c r="G76" s="713" t="e">
        <f>SUM(G28,"$#ODWOŁANIE$#ODWOŁANIE")+'Rozl. poż. og.-plan 2008-10'!G13</f>
        <v>#VALUE!</v>
      </c>
    </row>
  </sheetData>
  <sheetProtection selectLockedCells="1" selectUnlockedCells="1"/>
  <mergeCells count="10"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</mergeCells>
  <printOptions horizontalCentered="1"/>
  <pageMargins left="0.19652777777777777" right="0.19652777777777777" top="0.39374999999999999" bottom="0.59027777777777779" header="0.51180555555555551" footer="0"/>
  <pageSetup paperSize="9" scale="74" firstPageNumber="0" orientation="portrait" horizontalDpi="300" verticalDpi="300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Pl 2014-17 PFC</vt:lpstr>
      <vt:lpstr>Pl 2014-17 PFC MF</vt:lpstr>
      <vt:lpstr>Plan 2014-17 Wydatki</vt:lpstr>
      <vt:lpstr>Rozl. poż. og.-plan 2008-10</vt:lpstr>
      <vt:lpstr>Rozl.poż.pr.cel.-plan 2008-10</vt:lpstr>
      <vt:lpstr>'Pl 2014-17 PFC'!Obszar_wydruku</vt:lpstr>
      <vt:lpstr>'Pl 2014-17 PFC MF'!Obszar_wydruku</vt:lpstr>
      <vt:lpstr>'Plan 2014-17 Wydatki'!Obszar_wydruku</vt:lpstr>
      <vt:lpstr>'Rozl. poż. og.-plan 2008-10'!Obszar_wydruku</vt:lpstr>
      <vt:lpstr>'Rozl.poż.pr.cel.-plan 2008-10'!Obszar_wydruku</vt:lpstr>
      <vt:lpstr>'Pl 2014-17 PFC'!Tytuły_wydruku</vt:lpstr>
      <vt:lpstr>'Pl 2014-17 PFC MF'!Tytuły_wydruku</vt:lpstr>
      <vt:lpstr>'Plan 2014-17 Wydatki'!Tytuły_wydruku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dzak</dc:creator>
  <cp:lastModifiedBy>test</cp:lastModifiedBy>
  <cp:lastPrinted>2014-03-28T11:18:33Z</cp:lastPrinted>
  <dcterms:created xsi:type="dcterms:W3CDTF">2013-12-03T13:47:07Z</dcterms:created>
  <dcterms:modified xsi:type="dcterms:W3CDTF">2014-05-15T06:07:34Z</dcterms:modified>
</cp:coreProperties>
</file>