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240" windowWidth="16380" windowHeight="7956" tabRatio="605" firstSheet="1" activeTab="1"/>
  </bookViews>
  <sheets>
    <sheet name="Pl 2016-20 PFC" sheetId="1" state="hidden" r:id="rId1"/>
    <sheet name="Pl 2014-17 PFC MF" sheetId="2" r:id="rId2"/>
    <sheet name="czysty" sheetId="8" state="hidden" r:id="rId3"/>
    <sheet name="Plan 2014-17 Wydatki" sheetId="3" state="hidden" r:id="rId4"/>
    <sheet name="BZ-zmiany (2)" sheetId="9" state="hidden" r:id="rId5"/>
    <sheet name="PFC D (2)" sheetId="10" state="hidden" r:id="rId6"/>
    <sheet name="PFC D kasowo" sheetId="11" state="hidden" r:id="rId7"/>
    <sheet name="Rozl. poż. og.-plan 2008-10" sheetId="4" state="hidden" r:id="rId8"/>
    <sheet name="Rozl.poż.pr.cel.-plan 2008-10" sheetId="5" state="hidden" r:id="rId9"/>
  </sheets>
  <externalReferences>
    <externalReference r:id="rId10"/>
  </externalReferences>
  <definedNames>
    <definedName name="_xlnm.Print_Area" localSheetId="4">'BZ-zmiany (2)'!$A$1:$R$161</definedName>
    <definedName name="_xlnm.Print_Area" localSheetId="2">czysty!$A$1:$L$232</definedName>
    <definedName name="_xlnm.Print_Area" localSheetId="5">'PFC D (2)'!$A$1:$P$33</definedName>
    <definedName name="_xlnm.Print_Area" localSheetId="6">'PFC D kasowo'!$A$1:$AH$40</definedName>
    <definedName name="_xlnm.Print_Area" localSheetId="1">'Pl 2014-17 PFC MF'!$A$1:$K$665</definedName>
    <definedName name="_xlnm.Print_Area" localSheetId="0">'Pl 2016-20 PFC'!$A$1:$I$624</definedName>
    <definedName name="_xlnm.Print_Area" localSheetId="3">'Plan 2014-17 Wydatki'!$A$1:$W$67</definedName>
    <definedName name="_xlnm.Print_Area" localSheetId="7">'Rozl. poż. og.-plan 2008-10'!$A$1:$I$49</definedName>
    <definedName name="_xlnm.Print_Area" localSheetId="8">'Rozl.poż.pr.cel.-plan 2008-10'!$A$1:$I$65</definedName>
    <definedName name="_xlnm.Print_Titles" localSheetId="4">'BZ-zmiany (2)'!$6:$9</definedName>
    <definedName name="_xlnm.Print_Titles" localSheetId="2">czysty!$49:$51</definedName>
    <definedName name="_xlnm.Print_Titles" localSheetId="1">'Pl 2014-17 PFC MF'!$66:$68</definedName>
    <definedName name="_xlnm.Print_Titles" localSheetId="0">'Pl 2016-20 PFC'!$67:$69</definedName>
    <definedName name="_xlnm.Print_Titles" localSheetId="3">'Plan 2014-17 Wydatki'!$A:$B,'Plan 2014-17 Wydatki'!$5:$8</definedName>
  </definedNames>
  <calcPr calcId="145621"/>
</workbook>
</file>

<file path=xl/calcChain.xml><?xml version="1.0" encoding="utf-8"?>
<calcChain xmlns="http://schemas.openxmlformats.org/spreadsheetml/2006/main">
  <c r="I206" i="2" l="1"/>
  <c r="X56" i="3"/>
  <c r="Y56" i="3"/>
  <c r="Z56" i="3"/>
  <c r="AA56" i="3"/>
  <c r="AB56" i="3"/>
  <c r="AC56" i="3"/>
  <c r="H220" i="2"/>
  <c r="H47" i="2"/>
  <c r="H205" i="2"/>
  <c r="H206" i="2"/>
  <c r="H207" i="2"/>
  <c r="H208" i="2"/>
  <c r="H210" i="2"/>
  <c r="H211" i="2"/>
  <c r="H212" i="2"/>
  <c r="H213" i="2"/>
  <c r="H214" i="2"/>
  <c r="H216" i="2"/>
  <c r="H217" i="2"/>
  <c r="G205" i="2"/>
  <c r="G206" i="2"/>
  <c r="G207" i="2"/>
  <c r="G208" i="2"/>
  <c r="G210" i="2"/>
  <c r="G211" i="2"/>
  <c r="G212" i="2"/>
  <c r="G213" i="2"/>
  <c r="G214" i="2"/>
  <c r="G216" i="2"/>
  <c r="G217" i="2"/>
  <c r="B209" i="2"/>
  <c r="B204" i="2"/>
  <c r="H240" i="1"/>
  <c r="G240" i="1"/>
  <c r="G210" i="1"/>
  <c r="G204" i="2"/>
  <c r="G203" i="2" s="1"/>
  <c r="G196" i="2" s="1"/>
  <c r="G195" i="2" s="1"/>
  <c r="H210" i="1"/>
  <c r="G215" i="1"/>
  <c r="H215" i="1"/>
  <c r="H209" i="2"/>
  <c r="H203" i="2" s="1"/>
  <c r="I222" i="1"/>
  <c r="J217" i="2" s="1"/>
  <c r="I221" i="1"/>
  <c r="J216" i="2"/>
  <c r="I219" i="1"/>
  <c r="J214" i="2" s="1"/>
  <c r="J213" i="2"/>
  <c r="I218" i="1"/>
  <c r="I217" i="1"/>
  <c r="I211" i="2" s="1"/>
  <c r="I216" i="1"/>
  <c r="I214" i="1"/>
  <c r="J208" i="2" s="1"/>
  <c r="I213" i="1"/>
  <c r="I212" i="1"/>
  <c r="I211" i="1"/>
  <c r="J205" i="2"/>
  <c r="H204" i="2"/>
  <c r="I204" i="2"/>
  <c r="I212" i="2"/>
  <c r="I208" i="2"/>
  <c r="I216" i="2"/>
  <c r="I214" i="2"/>
  <c r="G209" i="1"/>
  <c r="U56" i="3" s="1"/>
  <c r="G209" i="2"/>
  <c r="J206" i="2"/>
  <c r="J211" i="2"/>
  <c r="H209" i="1"/>
  <c r="I217" i="2"/>
  <c r="I213" i="2"/>
  <c r="I205" i="2"/>
  <c r="I496" i="2"/>
  <c r="H496" i="2"/>
  <c r="G496" i="2"/>
  <c r="J496" i="2"/>
  <c r="I242" i="2"/>
  <c r="H242" i="2"/>
  <c r="G242" i="2"/>
  <c r="B242" i="2"/>
  <c r="I241" i="2"/>
  <c r="H241" i="2"/>
  <c r="G241" i="2"/>
  <c r="D241" i="2"/>
  <c r="E241" i="2"/>
  <c r="F241" i="2"/>
  <c r="B241" i="2"/>
  <c r="H241" i="1"/>
  <c r="G241" i="1"/>
  <c r="U57" i="3"/>
  <c r="W66" i="3"/>
  <c r="V66" i="3"/>
  <c r="U66" i="3"/>
  <c r="V67" i="3"/>
  <c r="U67" i="3"/>
  <c r="B201" i="2"/>
  <c r="B202" i="2"/>
  <c r="B203" i="2"/>
  <c r="B205" i="2"/>
  <c r="B206" i="2"/>
  <c r="B207" i="2"/>
  <c r="B208" i="2"/>
  <c r="B210" i="2"/>
  <c r="B211" i="2"/>
  <c r="B212" i="2"/>
  <c r="B213" i="2"/>
  <c r="B214" i="2"/>
  <c r="B215" i="2"/>
  <c r="B216" i="2"/>
  <c r="B217" i="2"/>
  <c r="B199" i="2"/>
  <c r="B200" i="2"/>
  <c r="C200" i="2"/>
  <c r="D200" i="2"/>
  <c r="E200" i="2"/>
  <c r="F200" i="2"/>
  <c r="I199" i="2"/>
  <c r="I200" i="2"/>
  <c r="I201" i="2"/>
  <c r="I202" i="2"/>
  <c r="G198" i="2"/>
  <c r="G199" i="2"/>
  <c r="G200" i="2"/>
  <c r="G201" i="2"/>
  <c r="G202" i="2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62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H461" i="1"/>
  <c r="H462" i="1"/>
  <c r="H463" i="1"/>
  <c r="H464" i="1"/>
  <c r="H465" i="1"/>
  <c r="H467" i="1"/>
  <c r="I467" i="1"/>
  <c r="H468" i="1"/>
  <c r="I468" i="1"/>
  <c r="H469" i="1"/>
  <c r="H470" i="1"/>
  <c r="I470" i="1"/>
  <c r="H471" i="1"/>
  <c r="H472" i="1"/>
  <c r="I472" i="1"/>
  <c r="H473" i="1"/>
  <c r="H474" i="1"/>
  <c r="I474" i="1"/>
  <c r="H475" i="1"/>
  <c r="I475" i="1"/>
  <c r="H477" i="1"/>
  <c r="I477" i="1"/>
  <c r="H478" i="1"/>
  <c r="I478" i="1"/>
  <c r="G462" i="1"/>
  <c r="G463" i="1"/>
  <c r="G464" i="1"/>
  <c r="G465" i="1"/>
  <c r="G467" i="1"/>
  <c r="G468" i="1"/>
  <c r="G469" i="1"/>
  <c r="G470" i="1"/>
  <c r="G471" i="1"/>
  <c r="G472" i="1"/>
  <c r="G473" i="1"/>
  <c r="G474" i="1"/>
  <c r="G475" i="1"/>
  <c r="G477" i="1"/>
  <c r="G478" i="1"/>
  <c r="H202" i="1"/>
  <c r="H201" i="1" s="1"/>
  <c r="I205" i="1"/>
  <c r="I206" i="1"/>
  <c r="I207" i="1"/>
  <c r="I208" i="1"/>
  <c r="I465" i="1" s="1"/>
  <c r="H220" i="1"/>
  <c r="I220" i="1"/>
  <c r="G220" i="1"/>
  <c r="G215" i="2"/>
  <c r="G466" i="1"/>
  <c r="H476" i="1"/>
  <c r="H215" i="2"/>
  <c r="I215" i="2"/>
  <c r="G239" i="1"/>
  <c r="G231" i="2" s="1"/>
  <c r="J201" i="2"/>
  <c r="I462" i="1"/>
  <c r="G476" i="1"/>
  <c r="J199" i="2"/>
  <c r="J202" i="2"/>
  <c r="I464" i="1"/>
  <c r="J200" i="2"/>
  <c r="I235" i="1"/>
  <c r="I232" i="1"/>
  <c r="I227" i="1"/>
  <c r="G234" i="1"/>
  <c r="G231" i="1"/>
  <c r="G226" i="1"/>
  <c r="B2" i="3"/>
  <c r="G365" i="1"/>
  <c r="B367" i="1"/>
  <c r="B368" i="1"/>
  <c r="G102" i="2"/>
  <c r="H102" i="2" s="1"/>
  <c r="I102" i="2"/>
  <c r="G103" i="2"/>
  <c r="H103" i="2"/>
  <c r="I103" i="2"/>
  <c r="I105" i="1"/>
  <c r="J102" i="2" s="1"/>
  <c r="I106" i="1"/>
  <c r="J103" i="2" s="1"/>
  <c r="C97" i="9"/>
  <c r="B143" i="2"/>
  <c r="I143" i="2"/>
  <c r="G143" i="2"/>
  <c r="D48" i="3"/>
  <c r="V48" i="3" s="1"/>
  <c r="M97" i="9" s="1"/>
  <c r="N97" i="9" s="1"/>
  <c r="C48" i="3"/>
  <c r="U48" i="3" s="1"/>
  <c r="I149" i="1"/>
  <c r="J143" i="2" s="1"/>
  <c r="E48" i="3"/>
  <c r="W48" i="3" s="1"/>
  <c r="O16" i="11"/>
  <c r="O15" i="11" s="1"/>
  <c r="O14" i="11" s="1"/>
  <c r="M15" i="11"/>
  <c r="M14" i="11"/>
  <c r="O10" i="11"/>
  <c r="O9" i="11"/>
  <c r="M10" i="11"/>
  <c r="M9" i="11"/>
  <c r="I10" i="11"/>
  <c r="I9" i="11"/>
  <c r="Z19" i="11"/>
  <c r="Q19" i="11"/>
  <c r="O16" i="10"/>
  <c r="G108" i="9"/>
  <c r="F108" i="9"/>
  <c r="F37" i="9"/>
  <c r="O15" i="10"/>
  <c r="O14" i="10"/>
  <c r="S114" i="9"/>
  <c r="U114" i="9"/>
  <c r="S113" i="9"/>
  <c r="T113" i="9"/>
  <c r="S112" i="9"/>
  <c r="U112" i="9"/>
  <c r="S111" i="9"/>
  <c r="L110" i="9"/>
  <c r="F110" i="9"/>
  <c r="F100" i="9"/>
  <c r="F101" i="9"/>
  <c r="F99" i="9"/>
  <c r="F92" i="9"/>
  <c r="N69" i="9"/>
  <c r="N68" i="9"/>
  <c r="N67" i="9"/>
  <c r="N66" i="9"/>
  <c r="N65" i="9"/>
  <c r="N64" i="9"/>
  <c r="F48" i="9"/>
  <c r="L37" i="9"/>
  <c r="G37" i="9"/>
  <c r="G48" i="9"/>
  <c r="G35" i="9"/>
  <c r="G110" i="9"/>
  <c r="G92" i="9"/>
  <c r="N63" i="9"/>
  <c r="G99" i="9"/>
  <c r="T112" i="9"/>
  <c r="S158" i="9"/>
  <c r="T114" i="9"/>
  <c r="U111" i="9"/>
  <c r="U113" i="9"/>
  <c r="G101" i="9"/>
  <c r="G100" i="9" s="1"/>
  <c r="T111" i="9"/>
  <c r="G42" i="9"/>
  <c r="I142" i="2"/>
  <c r="D45" i="3"/>
  <c r="C45" i="3"/>
  <c r="B142" i="2"/>
  <c r="H142" i="2"/>
  <c r="G142" i="2"/>
  <c r="G173" i="2"/>
  <c r="I173" i="2"/>
  <c r="I172" i="2"/>
  <c r="J173" i="2"/>
  <c r="I147" i="1"/>
  <c r="J141" i="2" s="1"/>
  <c r="I148" i="1"/>
  <c r="I370" i="1"/>
  <c r="I371" i="1"/>
  <c r="I372" i="1"/>
  <c r="I373" i="1"/>
  <c r="I374" i="1"/>
  <c r="I375" i="1"/>
  <c r="I369" i="1"/>
  <c r="I357" i="1"/>
  <c r="I361" i="1"/>
  <c r="E45" i="3"/>
  <c r="J142" i="2"/>
  <c r="H67" i="1"/>
  <c r="I67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8" i="1"/>
  <c r="I329" i="1"/>
  <c r="I585" i="1" s="1"/>
  <c r="I328" i="1"/>
  <c r="I324" i="1"/>
  <c r="I322" i="1"/>
  <c r="I320" i="1"/>
  <c r="I318" i="1"/>
  <c r="I574" i="1"/>
  <c r="I314" i="1"/>
  <c r="I301" i="1"/>
  <c r="I302" i="1"/>
  <c r="I558" i="1"/>
  <c r="I303" i="1"/>
  <c r="I559" i="1" s="1"/>
  <c r="I300" i="1"/>
  <c r="I294" i="1"/>
  <c r="I550" i="1" s="1"/>
  <c r="I284" i="1"/>
  <c r="I540" i="1" s="1"/>
  <c r="I283" i="1"/>
  <c r="I279" i="1"/>
  <c r="W67" i="3" s="1"/>
  <c r="I276" i="1"/>
  <c r="I532" i="1" s="1"/>
  <c r="I255" i="1"/>
  <c r="I512" i="1" s="1"/>
  <c r="I256" i="1"/>
  <c r="I513" i="1" s="1"/>
  <c r="I257" i="1"/>
  <c r="I514" i="1" s="1"/>
  <c r="I258" i="1"/>
  <c r="I259" i="1"/>
  <c r="I516" i="1" s="1"/>
  <c r="I260" i="1"/>
  <c r="I517" i="1" s="1"/>
  <c r="I261" i="1"/>
  <c r="I262" i="1"/>
  <c r="I263" i="1"/>
  <c r="I520" i="1" s="1"/>
  <c r="I264" i="1"/>
  <c r="I521" i="1" s="1"/>
  <c r="I265" i="1"/>
  <c r="I522" i="1" s="1"/>
  <c r="I266" i="1"/>
  <c r="I523" i="1" s="1"/>
  <c r="I267" i="1"/>
  <c r="I524" i="1"/>
  <c r="I268" i="1"/>
  <c r="I526" i="1" s="1"/>
  <c r="I269" i="1"/>
  <c r="I270" i="1"/>
  <c r="I55" i="1" s="1"/>
  <c r="I271" i="1"/>
  <c r="I254" i="1"/>
  <c r="I247" i="1"/>
  <c r="I248" i="1"/>
  <c r="I505" i="1" s="1"/>
  <c r="I249" i="1"/>
  <c r="I506" i="1" s="1"/>
  <c r="I250" i="1"/>
  <c r="I507" i="1" s="1"/>
  <c r="I251" i="1"/>
  <c r="I243" i="1"/>
  <c r="I244" i="1"/>
  <c r="I501" i="1"/>
  <c r="I245" i="1"/>
  <c r="I502" i="1" s="1"/>
  <c r="I242" i="1"/>
  <c r="I229" i="1"/>
  <c r="I204" i="1"/>
  <c r="I461" i="1" s="1"/>
  <c r="I203" i="1"/>
  <c r="I202" i="1" s="1"/>
  <c r="I199" i="1"/>
  <c r="I456" i="1" s="1"/>
  <c r="I197" i="1"/>
  <c r="I184" i="1"/>
  <c r="I173" i="1"/>
  <c r="I174" i="1"/>
  <c r="I175" i="1"/>
  <c r="I176" i="1"/>
  <c r="I177" i="1"/>
  <c r="I178" i="1"/>
  <c r="J172" i="2" s="1"/>
  <c r="I172" i="1"/>
  <c r="H44" i="3" s="1"/>
  <c r="I158" i="1"/>
  <c r="I159" i="1"/>
  <c r="I160" i="1"/>
  <c r="I161" i="1"/>
  <c r="I162" i="1"/>
  <c r="I163" i="1"/>
  <c r="I164" i="1"/>
  <c r="I165" i="1"/>
  <c r="I166" i="1"/>
  <c r="I156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50" i="1"/>
  <c r="I131" i="1"/>
  <c r="I125" i="1"/>
  <c r="I126" i="1"/>
  <c r="I127" i="1"/>
  <c r="I128" i="1"/>
  <c r="I124" i="1"/>
  <c r="I107" i="1"/>
  <c r="I108" i="1"/>
  <c r="I109" i="1"/>
  <c r="I110" i="1"/>
  <c r="I111" i="1"/>
  <c r="I113" i="1"/>
  <c r="I114" i="1"/>
  <c r="I115" i="1"/>
  <c r="I104" i="1"/>
  <c r="I99" i="1"/>
  <c r="I101" i="1"/>
  <c r="I95" i="1"/>
  <c r="I94" i="1"/>
  <c r="I584" i="1"/>
  <c r="I576" i="1"/>
  <c r="I578" i="1"/>
  <c r="I556" i="1"/>
  <c r="I557" i="1"/>
  <c r="I539" i="1"/>
  <c r="I541" i="1"/>
  <c r="I511" i="1"/>
  <c r="I515" i="1"/>
  <c r="I518" i="1"/>
  <c r="I519" i="1"/>
  <c r="I525" i="1"/>
  <c r="I500" i="1"/>
  <c r="I504" i="1"/>
  <c r="I508" i="1"/>
  <c r="I492" i="1"/>
  <c r="I489" i="1"/>
  <c r="I484" i="1"/>
  <c r="H167" i="1"/>
  <c r="I498" i="1"/>
  <c r="I495" i="1"/>
  <c r="I499" i="1"/>
  <c r="J242" i="2"/>
  <c r="I241" i="1"/>
  <c r="W57" i="3"/>
  <c r="H55" i="1"/>
  <c r="G55" i="1"/>
  <c r="B56" i="1"/>
  <c r="B54" i="1"/>
  <c r="H103" i="1"/>
  <c r="G112" i="1"/>
  <c r="G295" i="1"/>
  <c r="I231" i="1"/>
  <c r="I488" i="1" s="1"/>
  <c r="G483" i="1"/>
  <c r="I226" i="1"/>
  <c r="F644" i="2"/>
  <c r="F218" i="8" s="1"/>
  <c r="G644" i="2"/>
  <c r="H644" i="2"/>
  <c r="I644" i="2"/>
  <c r="I642" i="2" s="1"/>
  <c r="J644" i="2"/>
  <c r="K644" i="2"/>
  <c r="L644" i="2"/>
  <c r="F650" i="2"/>
  <c r="F221" i="8" s="1"/>
  <c r="G650" i="2"/>
  <c r="G642" i="2" s="1"/>
  <c r="H650" i="2"/>
  <c r="I650" i="2"/>
  <c r="J650" i="2"/>
  <c r="K650" i="2"/>
  <c r="L650" i="2"/>
  <c r="M642" i="2"/>
  <c r="N642" i="2"/>
  <c r="O642" i="2"/>
  <c r="E650" i="2"/>
  <c r="E644" i="2"/>
  <c r="I483" i="1"/>
  <c r="E642" i="2"/>
  <c r="L642" i="2"/>
  <c r="H642" i="2"/>
  <c r="K642" i="2"/>
  <c r="E607" i="2"/>
  <c r="G347" i="1"/>
  <c r="I347" i="1" s="1"/>
  <c r="E234" i="1"/>
  <c r="E233" i="1" s="1"/>
  <c r="E50" i="2" s="1"/>
  <c r="E231" i="1"/>
  <c r="E226" i="1"/>
  <c r="H218" i="8"/>
  <c r="F219" i="8"/>
  <c r="H219" i="8"/>
  <c r="F222" i="8"/>
  <c r="H223" i="8"/>
  <c r="F225" i="8"/>
  <c r="H225" i="8"/>
  <c r="H213" i="8"/>
  <c r="F215" i="8"/>
  <c r="G215" i="8"/>
  <c r="H215" i="8"/>
  <c r="E215" i="8"/>
  <c r="K199" i="8"/>
  <c r="K198" i="8"/>
  <c r="E199" i="8"/>
  <c r="L199" i="8"/>
  <c r="E198" i="8"/>
  <c r="L178" i="8"/>
  <c r="L177" i="8"/>
  <c r="L176" i="8"/>
  <c r="L174" i="8"/>
  <c r="L173" i="8"/>
  <c r="L172" i="8"/>
  <c r="L170" i="8"/>
  <c r="L169" i="8"/>
  <c r="L168" i="8"/>
  <c r="L166" i="8"/>
  <c r="L165" i="8"/>
  <c r="L164" i="8"/>
  <c r="L162" i="8"/>
  <c r="L161" i="8"/>
  <c r="L160" i="8"/>
  <c r="L158" i="8"/>
  <c r="L157" i="8"/>
  <c r="L152" i="8"/>
  <c r="L151" i="8"/>
  <c r="L150" i="8"/>
  <c r="L149" i="8"/>
  <c r="L147" i="8"/>
  <c r="U15" i="8"/>
  <c r="L144" i="8"/>
  <c r="L143" i="8"/>
  <c r="L141" i="8"/>
  <c r="L140" i="8"/>
  <c r="L139" i="8"/>
  <c r="L137" i="8"/>
  <c r="L135" i="8"/>
  <c r="L128" i="8"/>
  <c r="L125" i="8"/>
  <c r="L124" i="8"/>
  <c r="L121" i="8"/>
  <c r="L120" i="8"/>
  <c r="L119" i="8"/>
  <c r="L117" i="8"/>
  <c r="L105" i="8"/>
  <c r="N109" i="8"/>
  <c r="N107" i="8" s="1"/>
  <c r="L113" i="8"/>
  <c r="L110" i="8"/>
  <c r="L107" i="8"/>
  <c r="L106" i="8"/>
  <c r="L103" i="8"/>
  <c r="L102" i="8"/>
  <c r="L100" i="8"/>
  <c r="L99" i="8"/>
  <c r="L96" i="8"/>
  <c r="L95" i="8"/>
  <c r="L94" i="8"/>
  <c r="L92" i="8"/>
  <c r="L91" i="8"/>
  <c r="L90" i="8"/>
  <c r="L88" i="8"/>
  <c r="L86" i="8"/>
  <c r="L84" i="8"/>
  <c r="L83" i="8"/>
  <c r="L72" i="8"/>
  <c r="L74" i="8"/>
  <c r="L79" i="8"/>
  <c r="L78" i="8"/>
  <c r="L77" i="8"/>
  <c r="L75" i="8"/>
  <c r="L56" i="8"/>
  <c r="L64" i="8"/>
  <c r="L66" i="8"/>
  <c r="L67" i="8"/>
  <c r="L62" i="8"/>
  <c r="L58" i="8"/>
  <c r="L53" i="8"/>
  <c r="L132" i="8"/>
  <c r="H49" i="8"/>
  <c r="H132" i="8" s="1"/>
  <c r="H181" i="8" s="1"/>
  <c r="H193" i="8" s="1"/>
  <c r="L49" i="8"/>
  <c r="L26" i="8"/>
  <c r="L28" i="8"/>
  <c r="L30" i="8"/>
  <c r="L34" i="8"/>
  <c r="L36" i="8"/>
  <c r="L38" i="8"/>
  <c r="P18" i="8"/>
  <c r="Y14" i="8"/>
  <c r="L42" i="8"/>
  <c r="L41" i="8"/>
  <c r="U14" i="8" s="1"/>
  <c r="L40" i="8"/>
  <c r="L39" i="8"/>
  <c r="L33" i="8"/>
  <c r="L31" i="8"/>
  <c r="L24" i="8"/>
  <c r="L23" i="8"/>
  <c r="L21" i="8"/>
  <c r="L159" i="8"/>
  <c r="L156" i="8"/>
  <c r="L154" i="8"/>
  <c r="L153" i="8"/>
  <c r="L145" i="8"/>
  <c r="L129" i="8"/>
  <c r="L116" i="8"/>
  <c r="L115" i="8"/>
  <c r="L112" i="8"/>
  <c r="L111" i="8"/>
  <c r="L108" i="8"/>
  <c r="L104" i="8"/>
  <c r="L98" i="8"/>
  <c r="L87" i="8"/>
  <c r="L76" i="8"/>
  <c r="L73" i="8"/>
  <c r="L71" i="8"/>
  <c r="L69" i="8"/>
  <c r="L63" i="8"/>
  <c r="L60" i="8"/>
  <c r="L59" i="8"/>
  <c r="L57" i="8"/>
  <c r="L55" i="8"/>
  <c r="L45" i="8"/>
  <c r="L44" i="8"/>
  <c r="L43" i="8"/>
  <c r="L37" i="8"/>
  <c r="L35" i="8"/>
  <c r="L32" i="8"/>
  <c r="L29" i="8"/>
  <c r="L27" i="8"/>
  <c r="L25" i="8"/>
  <c r="C225" i="8"/>
  <c r="D145" i="8"/>
  <c r="D142" i="8"/>
  <c r="D129" i="8"/>
  <c r="D128" i="8"/>
  <c r="D127" i="8"/>
  <c r="D126" i="8"/>
  <c r="D125" i="8"/>
  <c r="D124" i="8"/>
  <c r="D116" i="8" s="1"/>
  <c r="D122" i="8"/>
  <c r="B122" i="8"/>
  <c r="D121" i="8"/>
  <c r="D120" i="8"/>
  <c r="D119" i="8"/>
  <c r="D118" i="8"/>
  <c r="AG197" i="8"/>
  <c r="AG198" i="8"/>
  <c r="AF197" i="8"/>
  <c r="AF198" i="8"/>
  <c r="AA197" i="8"/>
  <c r="AA198" i="8"/>
  <c r="D117" i="8"/>
  <c r="D112" i="8"/>
  <c r="D111" i="8"/>
  <c r="O109" i="8"/>
  <c r="O107" i="8" s="1"/>
  <c r="D110" i="8"/>
  <c r="D109" i="8"/>
  <c r="D103" i="8"/>
  <c r="D41" i="8" s="1"/>
  <c r="D101" i="8"/>
  <c r="D39" i="8" s="1"/>
  <c r="D100" i="8"/>
  <c r="D38" i="8" s="1"/>
  <c r="D34" i="8"/>
  <c r="D98" i="8"/>
  <c r="D36" i="8"/>
  <c r="D97" i="8"/>
  <c r="D35" i="8"/>
  <c r="D33" i="8"/>
  <c r="D91" i="8"/>
  <c r="D42" i="8" s="1"/>
  <c r="D25" i="8"/>
  <c r="D22" i="8"/>
  <c r="D24" i="8"/>
  <c r="D23" i="8"/>
  <c r="D86" i="8"/>
  <c r="D79" i="8"/>
  <c r="D77" i="8"/>
  <c r="D76" i="8"/>
  <c r="D75" i="8"/>
  <c r="D74" i="8"/>
  <c r="D73" i="8"/>
  <c r="D72" i="8"/>
  <c r="D71" i="8"/>
  <c r="D67" i="8"/>
  <c r="D66" i="8"/>
  <c r="D65" i="8"/>
  <c r="D64" i="8"/>
  <c r="D63" i="8"/>
  <c r="D62" i="8"/>
  <c r="D60" i="8"/>
  <c r="B60" i="8"/>
  <c r="D59" i="8"/>
  <c r="D58" i="8"/>
  <c r="D57" i="8"/>
  <c r="D56" i="8"/>
  <c r="D55" i="8"/>
  <c r="D49" i="8"/>
  <c r="D45" i="8"/>
  <c r="C205" i="8"/>
  <c r="C204" i="8"/>
  <c r="C202" i="8"/>
  <c r="R18" i="8"/>
  <c r="Q18" i="8"/>
  <c r="Z14" i="8" s="1"/>
  <c r="D27" i="8"/>
  <c r="D21" i="8"/>
  <c r="D20" i="8"/>
  <c r="T18" i="8"/>
  <c r="O18" i="8"/>
  <c r="T15" i="8"/>
  <c r="S15" i="8"/>
  <c r="R15" i="8"/>
  <c r="P15" i="8"/>
  <c r="E15" i="8"/>
  <c r="E50" i="8" s="1"/>
  <c r="E133" i="8"/>
  <c r="E182" i="8" s="1"/>
  <c r="E194" i="8" s="1"/>
  <c r="V14" i="8"/>
  <c r="L155" i="8"/>
  <c r="L163" i="8"/>
  <c r="L167" i="8"/>
  <c r="L171" i="8"/>
  <c r="L175" i="8"/>
  <c r="L138" i="8"/>
  <c r="L142" i="8"/>
  <c r="L118" i="8"/>
  <c r="L122" i="8"/>
  <c r="L126" i="8"/>
  <c r="L85" i="8"/>
  <c r="L89" i="8"/>
  <c r="L93" i="8"/>
  <c r="L97" i="8"/>
  <c r="L101" i="8"/>
  <c r="L109" i="8"/>
  <c r="N18" i="8"/>
  <c r="L22" i="8"/>
  <c r="D96" i="8"/>
  <c r="D108" i="8"/>
  <c r="D31" i="8" s="1"/>
  <c r="D43" i="8"/>
  <c r="D30" i="8"/>
  <c r="D53" i="8"/>
  <c r="D29" i="8"/>
  <c r="D90" i="8"/>
  <c r="D85" i="8"/>
  <c r="D84" i="8" s="1"/>
  <c r="D83" i="8" s="1"/>
  <c r="D95" i="8"/>
  <c r="D94" i="8" s="1"/>
  <c r="D28" i="8"/>
  <c r="D32" i="8"/>
  <c r="D159" i="8"/>
  <c r="D92" i="8"/>
  <c r="D106" i="8"/>
  <c r="D105" i="8" s="1"/>
  <c r="D113" i="8"/>
  <c r="D44" i="8"/>
  <c r="D107" i="8"/>
  <c r="D18" i="8"/>
  <c r="O100" i="8"/>
  <c r="R117" i="8"/>
  <c r="R118" i="8"/>
  <c r="Z112" i="8"/>
  <c r="N117" i="8"/>
  <c r="N118" i="8" s="1"/>
  <c r="V112" i="8"/>
  <c r="P117" i="8"/>
  <c r="P118" i="8"/>
  <c r="X112" i="8"/>
  <c r="O117" i="8"/>
  <c r="O118" i="8" s="1"/>
  <c r="O119" i="8" s="1"/>
  <c r="W112" i="8"/>
  <c r="Q117" i="8"/>
  <c r="Q118" i="8" s="1"/>
  <c r="Y112" i="8"/>
  <c r="N110" i="8"/>
  <c r="N112" i="8"/>
  <c r="O110" i="8"/>
  <c r="O112" i="8"/>
  <c r="AE197" i="8"/>
  <c r="AE198" i="8"/>
  <c r="F631" i="2"/>
  <c r="F213" i="8"/>
  <c r="G631" i="2"/>
  <c r="G213" i="8"/>
  <c r="E631" i="2"/>
  <c r="E213" i="8"/>
  <c r="D88" i="8"/>
  <c r="D87" i="8"/>
  <c r="D104" i="8"/>
  <c r="D93" i="8"/>
  <c r="D26" i="8"/>
  <c r="AD197" i="8"/>
  <c r="AD198" i="8" s="1"/>
  <c r="C201" i="8"/>
  <c r="C203" i="8"/>
  <c r="E222" i="8"/>
  <c r="E221" i="8"/>
  <c r="E219" i="8"/>
  <c r="E218" i="8"/>
  <c r="U15" i="2"/>
  <c r="V14" i="2"/>
  <c r="D81" i="8"/>
  <c r="P19" i="8"/>
  <c r="R14" i="8"/>
  <c r="Q19" i="8"/>
  <c r="S14" i="8"/>
  <c r="T14" i="8"/>
  <c r="R19" i="8"/>
  <c r="T19" i="8"/>
  <c r="P14" i="8"/>
  <c r="I608" i="1"/>
  <c r="E608" i="1"/>
  <c r="H274" i="2"/>
  <c r="F532" i="1"/>
  <c r="G532" i="1"/>
  <c r="H532" i="1"/>
  <c r="K28" i="1"/>
  <c r="K239" i="1"/>
  <c r="K324" i="1"/>
  <c r="L312" i="1"/>
  <c r="L315" i="1" s="1"/>
  <c r="M312" i="1"/>
  <c r="M315" i="1"/>
  <c r="O312" i="1"/>
  <c r="O315" i="1"/>
  <c r="L313" i="1"/>
  <c r="L316" i="1"/>
  <c r="M313" i="1"/>
  <c r="M316" i="1"/>
  <c r="N313" i="1"/>
  <c r="N316" i="1"/>
  <c r="O313" i="1"/>
  <c r="O316" i="1"/>
  <c r="O322" i="1"/>
  <c r="O323" i="1"/>
  <c r="K326" i="1"/>
  <c r="O317" i="1"/>
  <c r="M317" i="1"/>
  <c r="D535" i="1"/>
  <c r="E535" i="1"/>
  <c r="F535" i="1"/>
  <c r="G535" i="1"/>
  <c r="H535" i="1"/>
  <c r="I535" i="1"/>
  <c r="F503" i="1"/>
  <c r="D504" i="1"/>
  <c r="E504" i="1"/>
  <c r="F504" i="1"/>
  <c r="G504" i="1"/>
  <c r="H504" i="1"/>
  <c r="D489" i="1"/>
  <c r="E489" i="1"/>
  <c r="F489" i="1"/>
  <c r="G489" i="1"/>
  <c r="H489" i="1"/>
  <c r="D492" i="1"/>
  <c r="E492" i="1"/>
  <c r="F492" i="1"/>
  <c r="G492" i="1"/>
  <c r="H492" i="1"/>
  <c r="D484" i="1"/>
  <c r="E484" i="1"/>
  <c r="F484" i="1"/>
  <c r="G484" i="1"/>
  <c r="H484" i="1"/>
  <c r="G278" i="1"/>
  <c r="E278" i="1"/>
  <c r="E277" i="1"/>
  <c r="F277" i="1"/>
  <c r="D277" i="1"/>
  <c r="D275" i="1"/>
  <c r="E246" i="1"/>
  <c r="E503" i="1" s="1"/>
  <c r="E239" i="1"/>
  <c r="D246" i="1"/>
  <c r="D239" i="1"/>
  <c r="F239" i="1"/>
  <c r="F237" i="1" s="1"/>
  <c r="H233" i="1"/>
  <c r="K224" i="2"/>
  <c r="I230" i="1"/>
  <c r="H230" i="1"/>
  <c r="I224" i="2" s="1"/>
  <c r="G230" i="1"/>
  <c r="G49" i="2" s="1"/>
  <c r="F233" i="1"/>
  <c r="H226" i="2"/>
  <c r="K226" i="2"/>
  <c r="E226" i="2"/>
  <c r="F230" i="1"/>
  <c r="F49" i="2"/>
  <c r="H224" i="2"/>
  <c r="E230" i="1"/>
  <c r="G225" i="1"/>
  <c r="G47" i="2" s="1"/>
  <c r="K242" i="1"/>
  <c r="K243" i="1" s="1"/>
  <c r="K244" i="1" s="1"/>
  <c r="K245" i="1" s="1"/>
  <c r="E225" i="1"/>
  <c r="F225" i="1"/>
  <c r="F220" i="2"/>
  <c r="H225" i="1"/>
  <c r="D225" i="1"/>
  <c r="E47" i="2"/>
  <c r="G224" i="2"/>
  <c r="D99" i="8"/>
  <c r="D37" i="8"/>
  <c r="I49" i="2"/>
  <c r="I226" i="2"/>
  <c r="I50" i="2"/>
  <c r="J224" i="2"/>
  <c r="G48" i="1"/>
  <c r="G220" i="2"/>
  <c r="G495" i="1"/>
  <c r="G498" i="1"/>
  <c r="H495" i="1"/>
  <c r="H498" i="1"/>
  <c r="H50" i="1"/>
  <c r="H49" i="1"/>
  <c r="G503" i="1"/>
  <c r="I246" i="1"/>
  <c r="I503" i="1" s="1"/>
  <c r="I240" i="1"/>
  <c r="I239" i="1" s="1"/>
  <c r="G277" i="1"/>
  <c r="G275" i="1"/>
  <c r="I278" i="1"/>
  <c r="I277" i="1" s="1"/>
  <c r="H275" i="1"/>
  <c r="I274" i="2"/>
  <c r="F275" i="1"/>
  <c r="F274" i="2"/>
  <c r="K274" i="2"/>
  <c r="K49" i="2"/>
  <c r="K228" i="1"/>
  <c r="H50" i="2"/>
  <c r="H503" i="1"/>
  <c r="D503" i="1"/>
  <c r="K50" i="2"/>
  <c r="U65" i="3"/>
  <c r="U63" i="3"/>
  <c r="J241" i="2"/>
  <c r="G274" i="2"/>
  <c r="I534" i="1"/>
  <c r="K220" i="2"/>
  <c r="K47" i="2"/>
  <c r="L62" i="2"/>
  <c r="L68" i="2"/>
  <c r="L93" i="2"/>
  <c r="L95" i="2"/>
  <c r="L97" i="2"/>
  <c r="L99" i="2"/>
  <c r="L145" i="2"/>
  <c r="L175" i="2"/>
  <c r="L191" i="2"/>
  <c r="L194" i="2"/>
  <c r="L265" i="2"/>
  <c r="L268" i="2"/>
  <c r="L292" i="2"/>
  <c r="L310" i="2"/>
  <c r="L312" i="2"/>
  <c r="L314" i="2"/>
  <c r="L316" i="2"/>
  <c r="L318" i="2"/>
  <c r="L320" i="2"/>
  <c r="L322" i="2"/>
  <c r="R18" i="3"/>
  <c r="R17" i="3"/>
  <c r="R15" i="3"/>
  <c r="R14" i="3"/>
  <c r="O30" i="3"/>
  <c r="O28" i="3"/>
  <c r="O21" i="3"/>
  <c r="L21" i="3"/>
  <c r="L28" i="3"/>
  <c r="L45" i="3"/>
  <c r="I34" i="3"/>
  <c r="I51" i="3"/>
  <c r="F24" i="3"/>
  <c r="F23" i="3"/>
  <c r="F45" i="3"/>
  <c r="F47" i="3"/>
  <c r="F46" i="3"/>
  <c r="F44" i="3"/>
  <c r="F35" i="3"/>
  <c r="F31" i="3"/>
  <c r="F30" i="3"/>
  <c r="F29" i="3"/>
  <c r="F28" i="3"/>
  <c r="F26" i="3"/>
  <c r="F21" i="3"/>
  <c r="C24" i="3"/>
  <c r="C49" i="3"/>
  <c r="C44" i="3"/>
  <c r="C43" i="3"/>
  <c r="C35" i="3"/>
  <c r="C28" i="3"/>
  <c r="C25" i="3"/>
  <c r="C23" i="3"/>
  <c r="C21" i="3"/>
  <c r="F15" i="1"/>
  <c r="F67" i="1"/>
  <c r="F14" i="8" s="1"/>
  <c r="F49" i="8" s="1"/>
  <c r="F132" i="8" s="1"/>
  <c r="F181" i="8" s="1"/>
  <c r="F193" i="8" s="1"/>
  <c r="F24" i="1"/>
  <c r="F25" i="1"/>
  <c r="F27" i="1"/>
  <c r="F26" i="1"/>
  <c r="F28" i="1"/>
  <c r="F29" i="1"/>
  <c r="F31" i="1"/>
  <c r="F32" i="1"/>
  <c r="F30" i="1" s="1"/>
  <c r="F33" i="1"/>
  <c r="F38" i="1"/>
  <c r="F37" i="1"/>
  <c r="F40" i="1"/>
  <c r="F39" i="1" s="1"/>
  <c r="F41" i="1"/>
  <c r="F44" i="1"/>
  <c r="F45" i="1"/>
  <c r="F49" i="1"/>
  <c r="F53" i="1"/>
  <c r="F55" i="1"/>
  <c r="F57" i="1"/>
  <c r="F62" i="1"/>
  <c r="F61" i="1" s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92" i="1"/>
  <c r="F103" i="1"/>
  <c r="F123" i="1"/>
  <c r="F129" i="1"/>
  <c r="F154" i="1"/>
  <c r="F155" i="1"/>
  <c r="F42" i="1"/>
  <c r="F167" i="1"/>
  <c r="F153" i="1" s="1"/>
  <c r="F152" i="1" s="1"/>
  <c r="F185" i="1"/>
  <c r="F183" i="1"/>
  <c r="F198" i="1"/>
  <c r="F58" i="1"/>
  <c r="F202" i="1"/>
  <c r="F201" i="1"/>
  <c r="F228" i="1"/>
  <c r="F50" i="1"/>
  <c r="F253" i="1"/>
  <c r="F252" i="1"/>
  <c r="F274" i="1"/>
  <c r="F59" i="1"/>
  <c r="F286" i="1"/>
  <c r="F304" i="1"/>
  <c r="F299" i="1"/>
  <c r="F298" i="1" s="1"/>
  <c r="F316" i="1"/>
  <c r="F46" i="1"/>
  <c r="F326" i="1"/>
  <c r="F60" i="1" s="1"/>
  <c r="F332" i="1"/>
  <c r="F355" i="1"/>
  <c r="F356" i="1"/>
  <c r="F353" i="1" s="1"/>
  <c r="F351" i="1" s="1"/>
  <c r="F359" i="1"/>
  <c r="F363" i="1"/>
  <c r="F365" i="1"/>
  <c r="F383" i="1"/>
  <c r="F382" i="1" s="1"/>
  <c r="F384" i="1"/>
  <c r="F385" i="1"/>
  <c r="F386" i="1"/>
  <c r="F387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13" i="1"/>
  <c r="F414" i="1"/>
  <c r="F415" i="1"/>
  <c r="F416" i="1"/>
  <c r="F417" i="1"/>
  <c r="F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41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6" i="1"/>
  <c r="F455" i="1"/>
  <c r="F460" i="1"/>
  <c r="F461" i="1"/>
  <c r="F483" i="1"/>
  <c r="F482" i="1"/>
  <c r="F482" i="2" s="1"/>
  <c r="F486" i="1"/>
  <c r="F485" i="1"/>
  <c r="F488" i="1"/>
  <c r="F487" i="1" s="1"/>
  <c r="F491" i="1"/>
  <c r="F490" i="1"/>
  <c r="F488" i="2" s="1"/>
  <c r="F499" i="1"/>
  <c r="F500" i="1"/>
  <c r="F501" i="1"/>
  <c r="F502" i="1"/>
  <c r="F505" i="1"/>
  <c r="F506" i="1"/>
  <c r="F507" i="1"/>
  <c r="F508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34" i="1"/>
  <c r="F533" i="1"/>
  <c r="F531" i="1"/>
  <c r="F530" i="1" s="1"/>
  <c r="F539" i="1"/>
  <c r="F540" i="1"/>
  <c r="F541" i="1"/>
  <c r="F550" i="1"/>
  <c r="F551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4" i="1"/>
  <c r="F576" i="1"/>
  <c r="F578" i="1"/>
  <c r="F580" i="1"/>
  <c r="F584" i="1"/>
  <c r="F585" i="1"/>
  <c r="F582" i="1" s="1"/>
  <c r="F593" i="1"/>
  <c r="F588" i="1"/>
  <c r="F602" i="1"/>
  <c r="F90" i="1"/>
  <c r="I275" i="1"/>
  <c r="J274" i="2"/>
  <c r="F412" i="1"/>
  <c r="F497" i="1"/>
  <c r="F182" i="1"/>
  <c r="F23" i="1"/>
  <c r="F35" i="1"/>
  <c r="F36" i="1"/>
  <c r="F21" i="1"/>
  <c r="F122" i="1"/>
  <c r="F121" i="1" s="1"/>
  <c r="F120" i="1" s="1"/>
  <c r="F542" i="1"/>
  <c r="F442" i="1"/>
  <c r="F440" i="1" s="1"/>
  <c r="F439" i="1" s="1"/>
  <c r="F51" i="1"/>
  <c r="F224" i="1"/>
  <c r="F43" i="1"/>
  <c r="F510" i="1"/>
  <c r="F509" i="1" s="1"/>
  <c r="F459" i="1"/>
  <c r="F458" i="1" s="1"/>
  <c r="F388" i="1"/>
  <c r="F381" i="1"/>
  <c r="F380" i="1"/>
  <c r="F481" i="1"/>
  <c r="F236" i="1"/>
  <c r="F52" i="1"/>
  <c r="F282" i="1"/>
  <c r="F281" i="1" s="1"/>
  <c r="F280" i="1" s="1"/>
  <c r="F273" i="1" s="1"/>
  <c r="F48" i="1"/>
  <c r="F47" i="1" s="1"/>
  <c r="F87" i="1"/>
  <c r="F71" i="1" s="1"/>
  <c r="F494" i="1"/>
  <c r="F493" i="1"/>
  <c r="F223" i="1"/>
  <c r="L351" i="1"/>
  <c r="C658" i="2"/>
  <c r="H335" i="2"/>
  <c r="H320" i="2"/>
  <c r="H318" i="2"/>
  <c r="H316" i="2"/>
  <c r="H314" i="2"/>
  <c r="H312" i="2"/>
  <c r="H310" i="2"/>
  <c r="H292" i="2"/>
  <c r="H268" i="2"/>
  <c r="H265" i="2"/>
  <c r="H259" i="2"/>
  <c r="H230" i="2"/>
  <c r="H194" i="2"/>
  <c r="H191" i="2"/>
  <c r="H175" i="2"/>
  <c r="H145" i="2"/>
  <c r="H99" i="2"/>
  <c r="H97" i="2"/>
  <c r="H95" i="2"/>
  <c r="H93" i="2"/>
  <c r="H79" i="2"/>
  <c r="G157" i="1"/>
  <c r="I157" i="1" s="1"/>
  <c r="G88" i="1"/>
  <c r="I88" i="1"/>
  <c r="G87" i="1"/>
  <c r="I87" i="1" s="1"/>
  <c r="G86" i="1"/>
  <c r="I86" i="1"/>
  <c r="G85" i="1"/>
  <c r="I85" i="1" s="1"/>
  <c r="G84" i="1"/>
  <c r="I84" i="1"/>
  <c r="G83" i="1"/>
  <c r="I83" i="1" s="1"/>
  <c r="G82" i="1"/>
  <c r="I82" i="1"/>
  <c r="G81" i="1"/>
  <c r="I81" i="1" s="1"/>
  <c r="G80" i="1"/>
  <c r="I80" i="1"/>
  <c r="G79" i="1"/>
  <c r="I79" i="1" s="1"/>
  <c r="G78" i="1"/>
  <c r="I78" i="1"/>
  <c r="G77" i="1"/>
  <c r="I77" i="1" s="1"/>
  <c r="G76" i="1"/>
  <c r="I76" i="1"/>
  <c r="G75" i="1"/>
  <c r="I75" i="1" s="1"/>
  <c r="G74" i="1"/>
  <c r="I74" i="1"/>
  <c r="G73" i="1"/>
  <c r="G71" i="1" s="1"/>
  <c r="I73" i="1"/>
  <c r="G328" i="2"/>
  <c r="H587" i="2"/>
  <c r="H584" i="2"/>
  <c r="H582" i="2"/>
  <c r="H580" i="2"/>
  <c r="H578" i="2"/>
  <c r="H576" i="2"/>
  <c r="H574" i="2"/>
  <c r="H572" i="2"/>
  <c r="H552" i="2"/>
  <c r="H532" i="2"/>
  <c r="H528" i="2"/>
  <c r="H492" i="2"/>
  <c r="H489" i="2"/>
  <c r="H487" i="2"/>
  <c r="H485" i="2"/>
  <c r="H483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3" i="2"/>
  <c r="H452" i="2"/>
  <c r="H450" i="2"/>
  <c r="H449" i="2"/>
  <c r="H404" i="2"/>
  <c r="H374" i="2"/>
  <c r="H372" i="2"/>
  <c r="H362" i="2"/>
  <c r="H360" i="2"/>
  <c r="H358" i="2"/>
  <c r="H353" i="2"/>
  <c r="H352" i="2"/>
  <c r="H351" i="2"/>
  <c r="H348" i="2"/>
  <c r="H228" i="1"/>
  <c r="D66" i="2"/>
  <c r="D323" i="2"/>
  <c r="D324" i="2"/>
  <c r="H66" i="2"/>
  <c r="H62" i="2"/>
  <c r="G551" i="2"/>
  <c r="G548" i="2"/>
  <c r="G547" i="2"/>
  <c r="G546" i="2"/>
  <c r="G545" i="2"/>
  <c r="G544" i="2"/>
  <c r="G543" i="2"/>
  <c r="G542" i="2"/>
  <c r="G523" i="2"/>
  <c r="G522" i="2"/>
  <c r="G434" i="2"/>
  <c r="G371" i="2"/>
  <c r="G370" i="2"/>
  <c r="G369" i="2"/>
  <c r="G368" i="2"/>
  <c r="G367" i="2"/>
  <c r="G366" i="2"/>
  <c r="G365" i="2"/>
  <c r="G364" i="2"/>
  <c r="G359" i="2"/>
  <c r="G341" i="2"/>
  <c r="G340" i="2"/>
  <c r="G339" i="2"/>
  <c r="G338" i="2"/>
  <c r="G337" i="2"/>
  <c r="G336" i="2"/>
  <c r="G334" i="2"/>
  <c r="G333" i="2"/>
  <c r="G332" i="2"/>
  <c r="G331" i="2"/>
  <c r="G330" i="2"/>
  <c r="G329" i="2"/>
  <c r="G324" i="2"/>
  <c r="G323" i="2"/>
  <c r="G319" i="2"/>
  <c r="G317" i="2"/>
  <c r="G315" i="2"/>
  <c r="G313" i="2"/>
  <c r="G309" i="2"/>
  <c r="G308" i="2"/>
  <c r="G307" i="2"/>
  <c r="G306" i="2"/>
  <c r="G305" i="2"/>
  <c r="G304" i="2"/>
  <c r="G303" i="2"/>
  <c r="G302" i="2"/>
  <c r="G301" i="2"/>
  <c r="G300" i="2"/>
  <c r="G298" i="2"/>
  <c r="G297" i="2"/>
  <c r="G296" i="2"/>
  <c r="G295" i="2"/>
  <c r="G291" i="2"/>
  <c r="G290" i="2"/>
  <c r="G289" i="2"/>
  <c r="G288" i="2"/>
  <c r="G287" i="2"/>
  <c r="G286" i="2"/>
  <c r="G285" i="2"/>
  <c r="G284" i="2"/>
  <c r="G283" i="2"/>
  <c r="G282" i="2"/>
  <c r="G280" i="2"/>
  <c r="G279" i="2"/>
  <c r="G278" i="2"/>
  <c r="G272" i="2"/>
  <c r="G267" i="2"/>
  <c r="G56" i="2"/>
  <c r="G264" i="2"/>
  <c r="G54" i="2" s="1"/>
  <c r="G263" i="2"/>
  <c r="G262" i="2"/>
  <c r="G261" i="2"/>
  <c r="G260" i="2"/>
  <c r="G258" i="2"/>
  <c r="G257" i="2"/>
  <c r="G256" i="2"/>
  <c r="G255" i="2"/>
  <c r="G254" i="2"/>
  <c r="G253" i="2"/>
  <c r="G251" i="2"/>
  <c r="G250" i="2"/>
  <c r="G249" i="2"/>
  <c r="G248" i="2"/>
  <c r="G247" i="2"/>
  <c r="G246" i="2"/>
  <c r="G245" i="2"/>
  <c r="G244" i="2"/>
  <c r="G243" i="2"/>
  <c r="G240" i="2"/>
  <c r="G239" i="2"/>
  <c r="G238" i="2"/>
  <c r="G237" i="2"/>
  <c r="G229" i="2"/>
  <c r="G227" i="2"/>
  <c r="G225" i="2"/>
  <c r="G223" i="2"/>
  <c r="G221" i="2"/>
  <c r="G197" i="2"/>
  <c r="G193" i="2"/>
  <c r="G190" i="2"/>
  <c r="G189" i="2"/>
  <c r="G188" i="2"/>
  <c r="G187" i="2"/>
  <c r="G186" i="2"/>
  <c r="G185" i="2"/>
  <c r="G184" i="2"/>
  <c r="G183" i="2"/>
  <c r="G182" i="2"/>
  <c r="G181" i="2"/>
  <c r="G180" i="2"/>
  <c r="G177" i="2"/>
  <c r="G174" i="2"/>
  <c r="G172" i="2"/>
  <c r="G171" i="2"/>
  <c r="G170" i="2"/>
  <c r="G169" i="2"/>
  <c r="G168" i="2"/>
  <c r="G167" i="2"/>
  <c r="G166" i="2"/>
  <c r="G165" i="2"/>
  <c r="G164" i="2"/>
  <c r="G163" i="2"/>
  <c r="G162" i="2"/>
  <c r="G161" i="2" s="1"/>
  <c r="G160" i="2"/>
  <c r="G159" i="2"/>
  <c r="G158" i="2"/>
  <c r="G157" i="2"/>
  <c r="G27" i="2" s="1"/>
  <c r="G156" i="2"/>
  <c r="G155" i="2"/>
  <c r="G154" i="2"/>
  <c r="G153" i="2"/>
  <c r="G26" i="2" s="1"/>
  <c r="G25" i="2" s="1"/>
  <c r="G152" i="2"/>
  <c r="G151" i="2"/>
  <c r="G150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2" i="2"/>
  <c r="G121" i="2"/>
  <c r="G120" i="2"/>
  <c r="G119" i="2"/>
  <c r="G118" i="2"/>
  <c r="G110" i="2"/>
  <c r="G109" i="2"/>
  <c r="G108" i="2"/>
  <c r="G107" i="2"/>
  <c r="G106" i="2"/>
  <c r="G105" i="2"/>
  <c r="G104" i="2"/>
  <c r="G101" i="2"/>
  <c r="G98" i="2"/>
  <c r="G96" i="2"/>
  <c r="G94" i="2"/>
  <c r="G92" i="2"/>
  <c r="G91" i="2"/>
  <c r="G90" i="2"/>
  <c r="G85" i="2"/>
  <c r="G84" i="2"/>
  <c r="G83" i="2"/>
  <c r="G70" i="2" s="1"/>
  <c r="G82" i="2"/>
  <c r="G81" i="2"/>
  <c r="G80" i="2"/>
  <c r="G78" i="2"/>
  <c r="G77" i="2"/>
  <c r="G76" i="2"/>
  <c r="G75" i="2"/>
  <c r="G74" i="2"/>
  <c r="G73" i="2"/>
  <c r="G72" i="2"/>
  <c r="G15" i="1"/>
  <c r="G593" i="1"/>
  <c r="G585" i="1"/>
  <c r="G586" i="2" s="1"/>
  <c r="G584" i="1"/>
  <c r="G580" i="1"/>
  <c r="G581" i="2" s="1"/>
  <c r="G578" i="1"/>
  <c r="G579" i="2"/>
  <c r="G576" i="1"/>
  <c r="G577" i="2" s="1"/>
  <c r="G574" i="1"/>
  <c r="G571" i="1"/>
  <c r="G570" i="1"/>
  <c r="G571" i="2" s="1"/>
  <c r="G569" i="1"/>
  <c r="G570" i="2"/>
  <c r="G568" i="1"/>
  <c r="G567" i="1"/>
  <c r="G568" i="2"/>
  <c r="G566" i="1"/>
  <c r="G567" i="2" s="1"/>
  <c r="G565" i="1"/>
  <c r="G566" i="2"/>
  <c r="G564" i="1"/>
  <c r="G565" i="2" s="1"/>
  <c r="G563" i="1"/>
  <c r="G564" i="2"/>
  <c r="G562" i="1"/>
  <c r="G563" i="2" s="1"/>
  <c r="G561" i="1"/>
  <c r="G562" i="2"/>
  <c r="G559" i="1"/>
  <c r="G558" i="1"/>
  <c r="G559" i="2"/>
  <c r="G557" i="1"/>
  <c r="G558" i="2" s="1"/>
  <c r="G556" i="1"/>
  <c r="G557" i="2"/>
  <c r="G551" i="1"/>
  <c r="G550" i="2" s="1"/>
  <c r="G550" i="1"/>
  <c r="G549" i="2"/>
  <c r="G541" i="1"/>
  <c r="G540" i="2" s="1"/>
  <c r="G540" i="1"/>
  <c r="G539" i="2"/>
  <c r="G539" i="1"/>
  <c r="G537" i="2" s="1"/>
  <c r="G534" i="1"/>
  <c r="G526" i="1"/>
  <c r="G521" i="2"/>
  <c r="G525" i="1"/>
  <c r="G520" i="2"/>
  <c r="G524" i="1"/>
  <c r="G519" i="2"/>
  <c r="G523" i="1"/>
  <c r="G518" i="2"/>
  <c r="G522" i="1"/>
  <c r="G517" i="2"/>
  <c r="G521" i="1"/>
  <c r="G516" i="2"/>
  <c r="G520" i="1"/>
  <c r="G515" i="2"/>
  <c r="G519" i="1"/>
  <c r="G518" i="1"/>
  <c r="G513" i="2"/>
  <c r="G517" i="1"/>
  <c r="G512" i="2" s="1"/>
  <c r="G516" i="1"/>
  <c r="G511" i="2"/>
  <c r="G515" i="1"/>
  <c r="G510" i="2" s="1"/>
  <c r="G514" i="1"/>
  <c r="G509" i="2"/>
  <c r="G513" i="1"/>
  <c r="G508" i="2" s="1"/>
  <c r="G512" i="1"/>
  <c r="G507" i="2"/>
  <c r="G511" i="1"/>
  <c r="G506" i="2" s="1"/>
  <c r="G508" i="1"/>
  <c r="G500" i="2"/>
  <c r="G507" i="1"/>
  <c r="G499" i="2" s="1"/>
  <c r="G506" i="1"/>
  <c r="G498" i="2"/>
  <c r="G505" i="1"/>
  <c r="G497" i="1" s="1"/>
  <c r="G493" i="2" s="1"/>
  <c r="G502" i="1"/>
  <c r="G495" i="2"/>
  <c r="G501" i="1"/>
  <c r="G494" i="2"/>
  <c r="G500" i="1"/>
  <c r="G504" i="2"/>
  <c r="G499" i="1"/>
  <c r="G491" i="1"/>
  <c r="G488" i="1"/>
  <c r="G487" i="1"/>
  <c r="G486" i="2"/>
  <c r="G486" i="1"/>
  <c r="G484" i="2" s="1"/>
  <c r="G482" i="1"/>
  <c r="G482" i="2"/>
  <c r="G461" i="1"/>
  <c r="G460" i="1"/>
  <c r="G456" i="1"/>
  <c r="G455" i="1"/>
  <c r="G451" i="2"/>
  <c r="G454" i="1"/>
  <c r="G453" i="1"/>
  <c r="G452" i="1"/>
  <c r="G448" i="2"/>
  <c r="G451" i="1"/>
  <c r="G447" i="2"/>
  <c r="G450" i="1"/>
  <c r="G446" i="2"/>
  <c r="G449" i="1"/>
  <c r="G445" i="2"/>
  <c r="G448" i="1"/>
  <c r="G444" i="2"/>
  <c r="G447" i="1"/>
  <c r="G443" i="2"/>
  <c r="G446" i="1"/>
  <c r="G442" i="2"/>
  <c r="G445" i="1"/>
  <c r="G441" i="2"/>
  <c r="G444" i="1"/>
  <c r="G440" i="2"/>
  <c r="G443" i="1"/>
  <c r="G441" i="1"/>
  <c r="G437" i="1"/>
  <c r="G433" i="2"/>
  <c r="G436" i="1"/>
  <c r="G432" i="2"/>
  <c r="G435" i="1"/>
  <c r="G431" i="2"/>
  <c r="G434" i="1"/>
  <c r="G430" i="2"/>
  <c r="G433" i="1"/>
  <c r="G429" i="2"/>
  <c r="G432" i="1"/>
  <c r="G428" i="2"/>
  <c r="G431" i="1"/>
  <c r="G427" i="2"/>
  <c r="G430" i="1"/>
  <c r="G426" i="2"/>
  <c r="G429" i="1"/>
  <c r="G425" i="2"/>
  <c r="G428" i="1"/>
  <c r="G424" i="2"/>
  <c r="G427" i="1"/>
  <c r="G423" i="2"/>
  <c r="G426" i="1"/>
  <c r="G422" i="2"/>
  <c r="G425" i="1"/>
  <c r="G421" i="2"/>
  <c r="G423" i="1"/>
  <c r="G419" i="2"/>
  <c r="G422" i="1"/>
  <c r="G418" i="2"/>
  <c r="G421" i="1"/>
  <c r="G417" i="2"/>
  <c r="G420" i="1"/>
  <c r="G416" i="2"/>
  <c r="G419" i="1"/>
  <c r="G415" i="2"/>
  <c r="G418" i="1"/>
  <c r="G414" i="2"/>
  <c r="G417" i="1"/>
  <c r="G413" i="2"/>
  <c r="G416" i="1"/>
  <c r="G411" i="1"/>
  <c r="G407" i="2" s="1"/>
  <c r="G415" i="1"/>
  <c r="G414" i="1"/>
  <c r="G410" i="2"/>
  <c r="G413" i="1"/>
  <c r="G409" i="2"/>
  <c r="G407" i="1"/>
  <c r="G403" i="2"/>
  <c r="G406" i="1"/>
  <c r="G402" i="2"/>
  <c r="G405" i="1"/>
  <c r="G401" i="2"/>
  <c r="G404" i="1"/>
  <c r="G400" i="2"/>
  <c r="G403" i="1"/>
  <c r="G399" i="2"/>
  <c r="G402" i="1"/>
  <c r="G398" i="2"/>
  <c r="G401" i="1"/>
  <c r="G397" i="2"/>
  <c r="G400" i="1"/>
  <c r="G396" i="2"/>
  <c r="G399" i="1"/>
  <c r="G395" i="2"/>
  <c r="G398" i="1"/>
  <c r="G394" i="2"/>
  <c r="G397" i="1"/>
  <c r="G393" i="2"/>
  <c r="G396" i="1"/>
  <c r="G392" i="2"/>
  <c r="G395" i="1"/>
  <c r="G391" i="2"/>
  <c r="G394" i="1"/>
  <c r="G390" i="2" s="1"/>
  <c r="G393" i="1"/>
  <c r="G389" i="2"/>
  <c r="G392" i="1"/>
  <c r="G388" i="2"/>
  <c r="G391" i="1"/>
  <c r="G387" i="2"/>
  <c r="G390" i="1"/>
  <c r="G386" i="2"/>
  <c r="G389" i="1"/>
  <c r="G385" i="2"/>
  <c r="G387" i="1"/>
  <c r="G383" i="2"/>
  <c r="G386" i="1"/>
  <c r="G382" i="2"/>
  <c r="G385" i="1"/>
  <c r="G381" i="2"/>
  <c r="G384" i="1"/>
  <c r="G380" i="2"/>
  <c r="G383" i="1"/>
  <c r="G382" i="1"/>
  <c r="G378" i="2"/>
  <c r="G363" i="2"/>
  <c r="G363" i="1"/>
  <c r="G359" i="1"/>
  <c r="G356" i="1"/>
  <c r="G355" i="1"/>
  <c r="G332" i="1"/>
  <c r="G326" i="1"/>
  <c r="U58" i="3"/>
  <c r="L107" i="9"/>
  <c r="G316" i="1"/>
  <c r="G46" i="1" s="1"/>
  <c r="G304" i="1"/>
  <c r="G299" i="1"/>
  <c r="G298" i="1" s="1"/>
  <c r="G286" i="1"/>
  <c r="G282" i="1"/>
  <c r="G281" i="1"/>
  <c r="G274" i="1"/>
  <c r="G253" i="1"/>
  <c r="G56" i="1"/>
  <c r="G228" i="1"/>
  <c r="G51" i="1" s="1"/>
  <c r="G202" i="1"/>
  <c r="G201" i="1"/>
  <c r="G198" i="1"/>
  <c r="G185" i="1"/>
  <c r="G183" i="1" s="1"/>
  <c r="G167" i="1"/>
  <c r="G155" i="1"/>
  <c r="G154" i="1"/>
  <c r="G129" i="1"/>
  <c r="G122" i="1"/>
  <c r="G123" i="1"/>
  <c r="G92" i="1"/>
  <c r="G62" i="1"/>
  <c r="G61" i="1"/>
  <c r="G60" i="1"/>
  <c r="G59" i="1"/>
  <c r="G57" i="1"/>
  <c r="G45" i="1"/>
  <c r="G44" i="1"/>
  <c r="G41" i="1"/>
  <c r="G40" i="1"/>
  <c r="G38" i="1"/>
  <c r="G37" i="1"/>
  <c r="G33" i="1"/>
  <c r="G32" i="1"/>
  <c r="G31" i="1"/>
  <c r="G29" i="1"/>
  <c r="G28" i="1"/>
  <c r="G27" i="1"/>
  <c r="G26" i="1" s="1"/>
  <c r="G25" i="1"/>
  <c r="G24" i="1"/>
  <c r="G67" i="1"/>
  <c r="G14" i="8" s="1"/>
  <c r="G49" i="8" s="1"/>
  <c r="G132" i="8" s="1"/>
  <c r="G181" i="8" s="1"/>
  <c r="G193" i="8" s="1"/>
  <c r="D228" i="1"/>
  <c r="D230" i="1"/>
  <c r="D233" i="1"/>
  <c r="D50" i="1"/>
  <c r="D355" i="1"/>
  <c r="D139" i="8"/>
  <c r="D356" i="1"/>
  <c r="D140" i="8"/>
  <c r="D359" i="1"/>
  <c r="D141" i="8"/>
  <c r="D363" i="1"/>
  <c r="D143" i="8"/>
  <c r="D365" i="1"/>
  <c r="D144" i="8"/>
  <c r="D383" i="1"/>
  <c r="D382" i="1"/>
  <c r="D384" i="1"/>
  <c r="D380" i="2"/>
  <c r="D385" i="1"/>
  <c r="D381" i="2"/>
  <c r="D386" i="1"/>
  <c r="D382" i="2"/>
  <c r="D387" i="1"/>
  <c r="D383" i="2"/>
  <c r="D389" i="1"/>
  <c r="D385" i="2"/>
  <c r="D390" i="1"/>
  <c r="D386" i="2"/>
  <c r="D391" i="1"/>
  <c r="D387" i="2"/>
  <c r="D392" i="1"/>
  <c r="D388" i="2"/>
  <c r="D393" i="1"/>
  <c r="D389" i="2"/>
  <c r="D394" i="1"/>
  <c r="D390" i="2"/>
  <c r="D395" i="1"/>
  <c r="D391" i="2"/>
  <c r="D396" i="1"/>
  <c r="D392" i="2"/>
  <c r="D397" i="1"/>
  <c r="D393" i="2"/>
  <c r="D398" i="1"/>
  <c r="D394" i="2"/>
  <c r="D399" i="1"/>
  <c r="D395" i="2"/>
  <c r="D400" i="1"/>
  <c r="D396" i="2"/>
  <c r="D401" i="1"/>
  <c r="D397" i="2"/>
  <c r="D402" i="1"/>
  <c r="D398" i="2"/>
  <c r="D403" i="1"/>
  <c r="D399" i="2"/>
  <c r="D404" i="1"/>
  <c r="D400" i="2"/>
  <c r="D405" i="1"/>
  <c r="D401" i="2"/>
  <c r="D406" i="1"/>
  <c r="D402" i="2"/>
  <c r="D407" i="1"/>
  <c r="D403" i="2"/>
  <c r="D413" i="1"/>
  <c r="D409" i="2"/>
  <c r="D414" i="1"/>
  <c r="D410" i="2"/>
  <c r="D415" i="1"/>
  <c r="D411" i="2"/>
  <c r="D416" i="1"/>
  <c r="D411" i="1"/>
  <c r="D407" i="2"/>
  <c r="D417" i="1"/>
  <c r="D418" i="1"/>
  <c r="D414" i="2"/>
  <c r="D419" i="1"/>
  <c r="D415" i="2" s="1"/>
  <c r="D420" i="1"/>
  <c r="D416" i="2"/>
  <c r="D421" i="1"/>
  <c r="D417" i="2" s="1"/>
  <c r="D422" i="1"/>
  <c r="D418" i="2"/>
  <c r="D423" i="1"/>
  <c r="D419" i="2" s="1"/>
  <c r="D425" i="1"/>
  <c r="D421" i="2"/>
  <c r="D426" i="1"/>
  <c r="D427" i="1"/>
  <c r="D423" i="2"/>
  <c r="D428" i="1"/>
  <c r="D424" i="2" s="1"/>
  <c r="D429" i="1"/>
  <c r="D425" i="2"/>
  <c r="D430" i="1"/>
  <c r="D426" i="2" s="1"/>
  <c r="D431" i="1"/>
  <c r="D427" i="2"/>
  <c r="D432" i="1"/>
  <c r="D428" i="2" s="1"/>
  <c r="D433" i="1"/>
  <c r="D429" i="2"/>
  <c r="D434" i="1"/>
  <c r="D430" i="2" s="1"/>
  <c r="D435" i="1"/>
  <c r="D431" i="2"/>
  <c r="D436" i="1"/>
  <c r="D432" i="2" s="1"/>
  <c r="D437" i="1"/>
  <c r="D433" i="2"/>
  <c r="D441" i="1"/>
  <c r="D436" i="2" s="1"/>
  <c r="D443" i="1"/>
  <c r="D439" i="2"/>
  <c r="D444" i="1"/>
  <c r="D440" i="2" s="1"/>
  <c r="D445" i="1"/>
  <c r="D441" i="2"/>
  <c r="D446" i="1"/>
  <c r="D442" i="2" s="1"/>
  <c r="D447" i="1"/>
  <c r="D443" i="2"/>
  <c r="D448" i="1"/>
  <c r="D444" i="2" s="1"/>
  <c r="D449" i="1"/>
  <c r="D445" i="2"/>
  <c r="D450" i="1"/>
  <c r="D446" i="2" s="1"/>
  <c r="D451" i="1"/>
  <c r="D447" i="2"/>
  <c r="D452" i="1"/>
  <c r="D448" i="2" s="1"/>
  <c r="D453" i="1"/>
  <c r="D454" i="1"/>
  <c r="D456" i="1"/>
  <c r="D460" i="1"/>
  <c r="D456" i="2"/>
  <c r="D461" i="1"/>
  <c r="D457" i="2" s="1"/>
  <c r="D483" i="1"/>
  <c r="D482" i="2"/>
  <c r="D486" i="1"/>
  <c r="D484" i="2" s="1"/>
  <c r="D488" i="1"/>
  <c r="D486" i="2"/>
  <c r="D491" i="1"/>
  <c r="D490" i="1" s="1"/>
  <c r="D499" i="1"/>
  <c r="D500" i="1"/>
  <c r="D504" i="2"/>
  <c r="D501" i="1"/>
  <c r="D494" i="2" s="1"/>
  <c r="D502" i="1"/>
  <c r="D495" i="2"/>
  <c r="D496" i="2"/>
  <c r="D505" i="1"/>
  <c r="D497" i="2"/>
  <c r="D506" i="1"/>
  <c r="D498" i="2"/>
  <c r="D507" i="1"/>
  <c r="D499" i="2"/>
  <c r="D508" i="1"/>
  <c r="D500" i="2"/>
  <c r="D511" i="1"/>
  <c r="D506" i="2"/>
  <c r="D512" i="1"/>
  <c r="D507" i="2"/>
  <c r="D513" i="1"/>
  <c r="D508" i="2"/>
  <c r="D514" i="1"/>
  <c r="D515" i="1"/>
  <c r="D516" i="1"/>
  <c r="D511" i="2"/>
  <c r="D517" i="1"/>
  <c r="D512" i="2" s="1"/>
  <c r="D518" i="1"/>
  <c r="D513" i="2"/>
  <c r="D519" i="1"/>
  <c r="D520" i="1"/>
  <c r="D515" i="2"/>
  <c r="D521" i="1"/>
  <c r="D516" i="2"/>
  <c r="D522" i="1"/>
  <c r="D517" i="2"/>
  <c r="D523" i="1"/>
  <c r="D518" i="2"/>
  <c r="D524" i="1"/>
  <c r="D519" i="2"/>
  <c r="D525" i="1"/>
  <c r="D520" i="2"/>
  <c r="D526" i="1"/>
  <c r="D521" i="2"/>
  <c r="D532" i="1"/>
  <c r="D534" i="1"/>
  <c r="D531" i="2" s="1"/>
  <c r="D539" i="1"/>
  <c r="D537" i="2"/>
  <c r="D540" i="1"/>
  <c r="D541" i="1"/>
  <c r="D540" i="2"/>
  <c r="D550" i="1"/>
  <c r="D549" i="2"/>
  <c r="D551" i="1"/>
  <c r="D550" i="2"/>
  <c r="D556" i="1"/>
  <c r="D557" i="2"/>
  <c r="D557" i="1"/>
  <c r="D558" i="2" s="1"/>
  <c r="D558" i="1"/>
  <c r="D559" i="2"/>
  <c r="D559" i="1"/>
  <c r="D560" i="2" s="1"/>
  <c r="D561" i="1"/>
  <c r="D562" i="2"/>
  <c r="D562" i="1"/>
  <c r="D563" i="2" s="1"/>
  <c r="D563" i="1"/>
  <c r="D564" i="2"/>
  <c r="D564" i="1"/>
  <c r="D565" i="2" s="1"/>
  <c r="D565" i="1"/>
  <c r="D566" i="2"/>
  <c r="D566" i="1"/>
  <c r="D567" i="2"/>
  <c r="D567" i="1"/>
  <c r="D568" i="2"/>
  <c r="D568" i="1"/>
  <c r="D569" i="2"/>
  <c r="D569" i="1"/>
  <c r="D570" i="2"/>
  <c r="D570" i="1"/>
  <c r="D571" i="2"/>
  <c r="D571" i="1"/>
  <c r="D574" i="1"/>
  <c r="D576" i="1"/>
  <c r="D175" i="8"/>
  <c r="D578" i="1"/>
  <c r="D580" i="1"/>
  <c r="D177" i="8"/>
  <c r="D584" i="1"/>
  <c r="D585" i="2" s="1"/>
  <c r="D585" i="1"/>
  <c r="D326" i="1"/>
  <c r="D316" i="1"/>
  <c r="E658" i="2" s="1"/>
  <c r="E225" i="8" s="1"/>
  <c r="D304" i="1"/>
  <c r="D299" i="1" s="1"/>
  <c r="D298" i="1" s="1"/>
  <c r="D286" i="1"/>
  <c r="D274" i="1"/>
  <c r="D253" i="1"/>
  <c r="D102" i="8" s="1"/>
  <c r="D231" i="2"/>
  <c r="D51" i="2" s="1"/>
  <c r="D202" i="1"/>
  <c r="D201" i="1"/>
  <c r="D198" i="1"/>
  <c r="D185" i="1"/>
  <c r="D183" i="1"/>
  <c r="D167" i="1"/>
  <c r="D154" i="1"/>
  <c r="D155" i="1"/>
  <c r="D129" i="1"/>
  <c r="D122" i="1"/>
  <c r="D123" i="1"/>
  <c r="D350" i="2"/>
  <c r="D353" i="2"/>
  <c r="D359" i="2"/>
  <c r="D364" i="2"/>
  <c r="D365" i="2"/>
  <c r="D366" i="2"/>
  <c r="D367" i="2"/>
  <c r="D368" i="2"/>
  <c r="D369" i="2"/>
  <c r="D370" i="2"/>
  <c r="D371" i="2"/>
  <c r="D434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503" i="2"/>
  <c r="D509" i="2"/>
  <c r="D522" i="2"/>
  <c r="D523" i="2"/>
  <c r="D536" i="2"/>
  <c r="D538" i="2"/>
  <c r="D542" i="2"/>
  <c r="D543" i="2"/>
  <c r="D544" i="2"/>
  <c r="D545" i="2"/>
  <c r="D546" i="2"/>
  <c r="D547" i="2"/>
  <c r="D548" i="2"/>
  <c r="D551" i="2"/>
  <c r="D555" i="2"/>
  <c r="D556" i="2"/>
  <c r="D586" i="2"/>
  <c r="D328" i="2"/>
  <c r="D329" i="2"/>
  <c r="D330" i="2"/>
  <c r="D331" i="2"/>
  <c r="D332" i="2"/>
  <c r="D333" i="2"/>
  <c r="D334" i="2"/>
  <c r="D336" i="2"/>
  <c r="D337" i="2"/>
  <c r="D338" i="2"/>
  <c r="D339" i="2"/>
  <c r="D340" i="2"/>
  <c r="D341" i="2"/>
  <c r="D118" i="2"/>
  <c r="D117" i="2" s="1"/>
  <c r="D119" i="2"/>
  <c r="D120" i="2"/>
  <c r="D28" i="2" s="1"/>
  <c r="D121" i="2"/>
  <c r="D122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4" i="2"/>
  <c r="D150" i="2"/>
  <c r="D151" i="2"/>
  <c r="D152" i="2"/>
  <c r="D153" i="2"/>
  <c r="D148" i="2"/>
  <c r="D154" i="2"/>
  <c r="D155" i="2"/>
  <c r="D37" i="2"/>
  <c r="D36" i="2"/>
  <c r="D156" i="2"/>
  <c r="D39" i="2" s="1"/>
  <c r="D157" i="2"/>
  <c r="D27" i="2"/>
  <c r="D158" i="2"/>
  <c r="D159" i="2"/>
  <c r="D160" i="2"/>
  <c r="D32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7" i="2"/>
  <c r="D180" i="2"/>
  <c r="D181" i="2"/>
  <c r="D182" i="2"/>
  <c r="D183" i="2"/>
  <c r="D184" i="2"/>
  <c r="D185" i="2"/>
  <c r="D186" i="2"/>
  <c r="D187" i="2"/>
  <c r="D188" i="2"/>
  <c r="D189" i="2"/>
  <c r="D190" i="2"/>
  <c r="D193" i="2"/>
  <c r="D192" i="2"/>
  <c r="D57" i="2"/>
  <c r="D197" i="2"/>
  <c r="D198" i="2"/>
  <c r="D223" i="2"/>
  <c r="D220" i="2"/>
  <c r="D225" i="2"/>
  <c r="D224" i="2" s="1"/>
  <c r="D49" i="2" s="1"/>
  <c r="D227" i="2"/>
  <c r="D226" i="2"/>
  <c r="D50" i="2" s="1"/>
  <c r="D229" i="2"/>
  <c r="D228" i="2"/>
  <c r="D48" i="2" s="1"/>
  <c r="D237" i="2"/>
  <c r="D238" i="2"/>
  <c r="D239" i="2"/>
  <c r="D232" i="2" s="1"/>
  <c r="D240" i="2"/>
  <c r="D243" i="2"/>
  <c r="D244" i="2"/>
  <c r="D245" i="2"/>
  <c r="D246" i="2"/>
  <c r="D247" i="2"/>
  <c r="D248" i="2"/>
  <c r="D249" i="2"/>
  <c r="D250" i="2"/>
  <c r="D251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54" i="2"/>
  <c r="D267" i="2"/>
  <c r="D56" i="2" s="1"/>
  <c r="D272" i="2"/>
  <c r="D274" i="2"/>
  <c r="D278" i="2"/>
  <c r="D279" i="2"/>
  <c r="D280" i="2"/>
  <c r="D282" i="2"/>
  <c r="D283" i="2"/>
  <c r="D284" i="2"/>
  <c r="D285" i="2"/>
  <c r="D286" i="2"/>
  <c r="D287" i="2"/>
  <c r="D288" i="2"/>
  <c r="D289" i="2"/>
  <c r="D290" i="2"/>
  <c r="D291" i="2"/>
  <c r="D295" i="2"/>
  <c r="D296" i="2"/>
  <c r="D297" i="2"/>
  <c r="D40" i="2" s="1"/>
  <c r="D38" i="2" s="1"/>
  <c r="D298" i="2"/>
  <c r="D300" i="2"/>
  <c r="D301" i="2"/>
  <c r="D302" i="2"/>
  <c r="D303" i="2"/>
  <c r="D304" i="2"/>
  <c r="D305" i="2"/>
  <c r="D306" i="2"/>
  <c r="D307" i="2"/>
  <c r="D308" i="2"/>
  <c r="D309" i="2"/>
  <c r="D313" i="2"/>
  <c r="D315" i="2"/>
  <c r="D317" i="2"/>
  <c r="D319" i="2"/>
  <c r="D90" i="2"/>
  <c r="D89" i="2" s="1"/>
  <c r="D87" i="2" s="1"/>
  <c r="D91" i="2"/>
  <c r="D92" i="2"/>
  <c r="D94" i="2"/>
  <c r="D96" i="2"/>
  <c r="D98" i="2"/>
  <c r="D101" i="2"/>
  <c r="D104" i="2"/>
  <c r="D105" i="2"/>
  <c r="D106" i="2"/>
  <c r="D72" i="2"/>
  <c r="D70" i="2" s="1"/>
  <c r="D73" i="2"/>
  <c r="D74" i="2"/>
  <c r="D75" i="2"/>
  <c r="D76" i="2"/>
  <c r="D77" i="2"/>
  <c r="D78" i="2"/>
  <c r="D80" i="2"/>
  <c r="D81" i="2"/>
  <c r="D82" i="2"/>
  <c r="D83" i="2"/>
  <c r="D84" i="2"/>
  <c r="D85" i="2"/>
  <c r="D103" i="1"/>
  <c r="D78" i="8" s="1"/>
  <c r="D92" i="1"/>
  <c r="D71" i="1"/>
  <c r="D24" i="1"/>
  <c r="D23" i="1" s="1"/>
  <c r="D25" i="1"/>
  <c r="D27" i="1"/>
  <c r="D26" i="1"/>
  <c r="D28" i="1"/>
  <c r="D29" i="1"/>
  <c r="D31" i="1"/>
  <c r="D32" i="1"/>
  <c r="D33" i="1"/>
  <c r="D38" i="1"/>
  <c r="D37" i="1" s="1"/>
  <c r="D40" i="1"/>
  <c r="D41" i="1"/>
  <c r="D42" i="1"/>
  <c r="D44" i="1"/>
  <c r="D45" i="1"/>
  <c r="D48" i="1"/>
  <c r="D49" i="1"/>
  <c r="D53" i="1"/>
  <c r="D55" i="1"/>
  <c r="D57" i="1"/>
  <c r="D58" i="1"/>
  <c r="D59" i="1"/>
  <c r="D60" i="1"/>
  <c r="D62" i="1"/>
  <c r="D61" i="1"/>
  <c r="D355" i="2"/>
  <c r="G503" i="2"/>
  <c r="D363" i="2"/>
  <c r="D351" i="2"/>
  <c r="D412" i="2"/>
  <c r="D581" i="2"/>
  <c r="D579" i="2"/>
  <c r="D361" i="2"/>
  <c r="D514" i="2"/>
  <c r="D321" i="2"/>
  <c r="D59" i="2" s="1"/>
  <c r="D357" i="2"/>
  <c r="D577" i="2"/>
  <c r="D356" i="2"/>
  <c r="D352" i="2"/>
  <c r="D542" i="1"/>
  <c r="D541" i="2" s="1"/>
  <c r="G357" i="2"/>
  <c r="G361" i="2"/>
  <c r="G356" i="2"/>
  <c r="G266" i="2"/>
  <c r="G55" i="2" s="1"/>
  <c r="G588" i="1"/>
  <c r="G602" i="1" s="1"/>
  <c r="D252" i="1"/>
  <c r="D40" i="8"/>
  <c r="D46" i="1"/>
  <c r="D487" i="1"/>
  <c r="D163" i="8"/>
  <c r="D531" i="1"/>
  <c r="D530" i="1" s="1"/>
  <c r="D169" i="8" s="1"/>
  <c r="D485" i="1"/>
  <c r="D162" i="8"/>
  <c r="D100" i="2"/>
  <c r="D69" i="8"/>
  <c r="D115" i="8" s="1"/>
  <c r="D131" i="8" s="1"/>
  <c r="D482" i="1"/>
  <c r="D161" i="8"/>
  <c r="D160" i="8" s="1"/>
  <c r="G497" i="2"/>
  <c r="G531" i="2"/>
  <c r="G533" i="1"/>
  <c r="G531" i="1" s="1"/>
  <c r="D533" i="1"/>
  <c r="D530" i="2" s="1"/>
  <c r="G353" i="1"/>
  <c r="G349" i="2"/>
  <c r="G347" i="2" s="1"/>
  <c r="G490" i="1"/>
  <c r="G488" i="2" s="1"/>
  <c r="D39" i="1"/>
  <c r="K155" i="1"/>
  <c r="F27" i="3"/>
  <c r="D582" i="1"/>
  <c r="D583" i="2" s="1"/>
  <c r="G224" i="1"/>
  <c r="G37" i="2"/>
  <c r="G36" i="2" s="1"/>
  <c r="G28" i="2"/>
  <c r="G39" i="2"/>
  <c r="G32" i="2"/>
  <c r="G52" i="2"/>
  <c r="G442" i="1"/>
  <c r="G43" i="1"/>
  <c r="G24" i="2"/>
  <c r="G252" i="1"/>
  <c r="G237" i="1" s="1"/>
  <c r="U55" i="3" s="1"/>
  <c r="G412" i="1"/>
  <c r="D353" i="1"/>
  <c r="D349" i="2" s="1"/>
  <c r="G121" i="1"/>
  <c r="D153" i="1"/>
  <c r="D152" i="1" s="1"/>
  <c r="D120" i="1" s="1"/>
  <c r="D459" i="1"/>
  <c r="D458" i="1"/>
  <c r="G572" i="1"/>
  <c r="G573" i="2" s="1"/>
  <c r="G582" i="1"/>
  <c r="G583" i="2" s="1"/>
  <c r="D90" i="1"/>
  <c r="D224" i="1"/>
  <c r="G66" i="2"/>
  <c r="G355" i="2"/>
  <c r="G514" i="2"/>
  <c r="G505" i="2"/>
  <c r="G575" i="2"/>
  <c r="D30" i="1"/>
  <c r="G542" i="1"/>
  <c r="G541" i="2" s="1"/>
  <c r="G411" i="2"/>
  <c r="G439" i="2"/>
  <c r="G585" i="2"/>
  <c r="D560" i="1"/>
  <c r="D561" i="2" s="1"/>
  <c r="G424" i="1"/>
  <c r="G420" i="2"/>
  <c r="G459" i="1"/>
  <c r="G458" i="1" s="1"/>
  <c r="G454" i="2" s="1"/>
  <c r="G510" i="1"/>
  <c r="G350" i="2"/>
  <c r="G379" i="2"/>
  <c r="G412" i="2"/>
  <c r="D61" i="2"/>
  <c r="D60" i="2" s="1"/>
  <c r="D182" i="1"/>
  <c r="D412" i="1"/>
  <c r="D408" i="2" s="1"/>
  <c r="D388" i="1"/>
  <c r="G23" i="1"/>
  <c r="G44" i="2"/>
  <c r="G42" i="2" s="1"/>
  <c r="G23" i="2"/>
  <c r="D43" i="2"/>
  <c r="G43" i="2"/>
  <c r="D502" i="2"/>
  <c r="D327" i="2"/>
  <c r="G117" i="2"/>
  <c r="G192" i="2"/>
  <c r="G57" i="2" s="1"/>
  <c r="G228" i="2"/>
  <c r="G40" i="2"/>
  <c r="G179" i="2"/>
  <c r="G178" i="2" s="1"/>
  <c r="G232" i="2"/>
  <c r="G89" i="2"/>
  <c r="G148" i="2"/>
  <c r="G236" i="2"/>
  <c r="G31" i="2"/>
  <c r="G42" i="1"/>
  <c r="G149" i="2"/>
  <c r="G153" i="1"/>
  <c r="G152" i="1" s="1"/>
  <c r="G30" i="1"/>
  <c r="G299" i="2"/>
  <c r="G36" i="1"/>
  <c r="G21" i="1"/>
  <c r="G436" i="2"/>
  <c r="G61" i="2"/>
  <c r="G39" i="1"/>
  <c r="G280" i="1"/>
  <c r="G273" i="1" s="1"/>
  <c r="G35" i="1"/>
  <c r="G388" i="1"/>
  <c r="G384" i="2"/>
  <c r="G481" i="2"/>
  <c r="G485" i="1"/>
  <c r="G481" i="1" s="1"/>
  <c r="G281" i="2"/>
  <c r="G277" i="2" s="1"/>
  <c r="G276" i="2" s="1"/>
  <c r="G311" i="2"/>
  <c r="I658" i="2" s="1"/>
  <c r="I225" i="8" s="1"/>
  <c r="G321" i="2"/>
  <c r="G123" i="2"/>
  <c r="G252" i="2"/>
  <c r="G502" i="2"/>
  <c r="D31" i="2"/>
  <c r="D29" i="2" s="1"/>
  <c r="G222" i="2"/>
  <c r="D24" i="2"/>
  <c r="D236" i="2"/>
  <c r="D235" i="2" s="1"/>
  <c r="D149" i="2"/>
  <c r="D41" i="2"/>
  <c r="D281" i="2"/>
  <c r="D277" i="2" s="1"/>
  <c r="D276" i="2" s="1"/>
  <c r="D161" i="2"/>
  <c r="D147" i="2" s="1"/>
  <c r="D196" i="2"/>
  <c r="D195" i="2" s="1"/>
  <c r="D179" i="2"/>
  <c r="D178" i="2"/>
  <c r="D176" i="2" s="1"/>
  <c r="D23" i="2"/>
  <c r="D311" i="2"/>
  <c r="D45" i="2"/>
  <c r="D299" i="2"/>
  <c r="D44" i="2"/>
  <c r="D43" i="1"/>
  <c r="D539" i="2"/>
  <c r="D271" i="2"/>
  <c r="D270" i="2"/>
  <c r="D527" i="2"/>
  <c r="D266" i="2"/>
  <c r="D55" i="2" s="1"/>
  <c r="D252" i="2"/>
  <c r="D497" i="1"/>
  <c r="D51" i="1"/>
  <c r="D222" i="2"/>
  <c r="D47" i="2" s="1"/>
  <c r="D488" i="2"/>
  <c r="D30" i="2"/>
  <c r="D35" i="1"/>
  <c r="D123" i="2"/>
  <c r="D116" i="2"/>
  <c r="D115" i="2" s="1"/>
  <c r="D379" i="2"/>
  <c r="D121" i="1"/>
  <c r="D26" i="2"/>
  <c r="D25" i="2" s="1"/>
  <c r="D354" i="2"/>
  <c r="D481" i="2"/>
  <c r="D221" i="2"/>
  <c r="D273" i="2"/>
  <c r="D58" i="2"/>
  <c r="G354" i="2"/>
  <c r="G236" i="1"/>
  <c r="D351" i="1"/>
  <c r="D455" i="2"/>
  <c r="D481" i="1"/>
  <c r="D526" i="2"/>
  <c r="D538" i="1"/>
  <c r="D537" i="1"/>
  <c r="D171" i="8" s="1"/>
  <c r="G351" i="1"/>
  <c r="G234" i="2"/>
  <c r="G233" i="2"/>
  <c r="G53" i="2" s="1"/>
  <c r="G54" i="1"/>
  <c r="D42" i="2"/>
  <c r="D178" i="8"/>
  <c r="D493" i="2"/>
  <c r="D165" i="8"/>
  <c r="G120" i="1"/>
  <c r="D138" i="8"/>
  <c r="D137" i="8"/>
  <c r="D135" i="8" s="1"/>
  <c r="G530" i="2"/>
  <c r="I656" i="2"/>
  <c r="I223" i="8" s="1"/>
  <c r="G22" i="2"/>
  <c r="G60" i="2"/>
  <c r="G219" i="2"/>
  <c r="G38" i="2"/>
  <c r="D555" i="1"/>
  <c r="D554" i="2" s="1"/>
  <c r="G538" i="1"/>
  <c r="G537" i="1" s="1"/>
  <c r="G534" i="2" s="1"/>
  <c r="D35" i="2"/>
  <c r="G59" i="2"/>
  <c r="G235" i="2"/>
  <c r="G48" i="2"/>
  <c r="G294" i="2"/>
  <c r="G45" i="2"/>
  <c r="G41" i="2"/>
  <c r="G35" i="2"/>
  <c r="G147" i="2"/>
  <c r="G34" i="1"/>
  <c r="G381" i="1"/>
  <c r="G377" i="2" s="1"/>
  <c r="D146" i="2"/>
  <c r="D294" i="2"/>
  <c r="D293" i="2"/>
  <c r="D219" i="2"/>
  <c r="H550" i="1"/>
  <c r="E550" i="1"/>
  <c r="G52" i="1"/>
  <c r="D534" i="2"/>
  <c r="D535" i="2"/>
  <c r="D554" i="1"/>
  <c r="G491" i="2"/>
  <c r="G490" i="2" s="1"/>
  <c r="I219" i="8"/>
  <c r="G176" i="2"/>
  <c r="G293" i="2"/>
  <c r="I222" i="8"/>
  <c r="I221" i="8"/>
  <c r="G44" i="3"/>
  <c r="B45" i="3"/>
  <c r="C96" i="9" s="1"/>
  <c r="B46" i="3"/>
  <c r="C95" i="9" s="1"/>
  <c r="I167" i="1"/>
  <c r="E167" i="1"/>
  <c r="E153" i="1" s="1"/>
  <c r="E152" i="1" s="1"/>
  <c r="D536" i="1"/>
  <c r="D170" i="8" s="1"/>
  <c r="E216" i="8"/>
  <c r="D529" i="1"/>
  <c r="D168" i="8" s="1"/>
  <c r="I218" i="8"/>
  <c r="I216" i="8"/>
  <c r="B520" i="2"/>
  <c r="B244" i="2"/>
  <c r="F262" i="2"/>
  <c r="H262" i="2" s="1"/>
  <c r="I262" i="2"/>
  <c r="J262" i="2"/>
  <c r="K262" i="2"/>
  <c r="F263" i="2"/>
  <c r="H263" i="2"/>
  <c r="I263" i="2"/>
  <c r="J263" i="2"/>
  <c r="K263" i="2"/>
  <c r="E263" i="2"/>
  <c r="L263" i="2" s="1"/>
  <c r="E262" i="2"/>
  <c r="L262" i="2" s="1"/>
  <c r="F520" i="2"/>
  <c r="H520" i="2" s="1"/>
  <c r="H525" i="1"/>
  <c r="K520" i="2"/>
  <c r="F521" i="2"/>
  <c r="H521" i="2" s="1"/>
  <c r="H526" i="1"/>
  <c r="I521" i="2" s="1"/>
  <c r="J521" i="2"/>
  <c r="K521" i="2"/>
  <c r="E526" i="1"/>
  <c r="E521" i="2" s="1"/>
  <c r="E525" i="1"/>
  <c r="E520" i="2"/>
  <c r="H253" i="1"/>
  <c r="H56" i="1" s="1"/>
  <c r="I253" i="1"/>
  <c r="E253" i="1"/>
  <c r="I520" i="2"/>
  <c r="J520" i="2"/>
  <c r="H355" i="1"/>
  <c r="I355" i="1" s="1"/>
  <c r="E67" i="1"/>
  <c r="K14" i="8"/>
  <c r="K49" i="8" s="1"/>
  <c r="K132" i="8"/>
  <c r="K181" i="8" s="1"/>
  <c r="K193" i="8" s="1"/>
  <c r="J14" i="8"/>
  <c r="J49" i="8"/>
  <c r="J132" i="8" s="1"/>
  <c r="J181" i="8" s="1"/>
  <c r="J193" i="8" s="1"/>
  <c r="I14" i="8"/>
  <c r="I49" i="8" s="1"/>
  <c r="I132" i="8" s="1"/>
  <c r="I181" i="8" s="1"/>
  <c r="I193" i="8"/>
  <c r="K80" i="2"/>
  <c r="K81" i="2"/>
  <c r="K85" i="2"/>
  <c r="J83" i="2"/>
  <c r="J85" i="2"/>
  <c r="I82" i="2"/>
  <c r="F80" i="2"/>
  <c r="H80" i="2"/>
  <c r="F72" i="2"/>
  <c r="H72" i="2" s="1"/>
  <c r="F85" i="2"/>
  <c r="H85" i="2"/>
  <c r="F77" i="2"/>
  <c r="H77" i="2" s="1"/>
  <c r="I72" i="2"/>
  <c r="K84" i="2"/>
  <c r="I355" i="2"/>
  <c r="F581" i="2"/>
  <c r="H581" i="2" s="1"/>
  <c r="H154" i="1"/>
  <c r="I154" i="1"/>
  <c r="H155" i="1"/>
  <c r="G27" i="3" s="1"/>
  <c r="V27" i="3"/>
  <c r="M109" i="9" s="1"/>
  <c r="I155" i="1"/>
  <c r="I42" i="1" s="1"/>
  <c r="H129" i="1"/>
  <c r="I129" i="1"/>
  <c r="H274" i="1"/>
  <c r="I274" i="1"/>
  <c r="O49" i="3"/>
  <c r="P49" i="3"/>
  <c r="Q49" i="3"/>
  <c r="F340" i="2"/>
  <c r="H340" i="2"/>
  <c r="F401" i="2"/>
  <c r="H401" i="2" s="1"/>
  <c r="F400" i="2"/>
  <c r="H400" i="2"/>
  <c r="F417" i="2"/>
  <c r="H417" i="2" s="1"/>
  <c r="F560" i="2"/>
  <c r="F540" i="2"/>
  <c r="H540" i="2" s="1"/>
  <c r="F418" i="2"/>
  <c r="H418" i="2"/>
  <c r="F415" i="2"/>
  <c r="H415" i="2" s="1"/>
  <c r="F557" i="2"/>
  <c r="H557" i="2"/>
  <c r="H556" i="1"/>
  <c r="J557" i="2"/>
  <c r="E556" i="1"/>
  <c r="H551" i="1"/>
  <c r="F537" i="2"/>
  <c r="H537" i="2" s="1"/>
  <c r="H539" i="1"/>
  <c r="I537" i="2" s="1"/>
  <c r="H540" i="1"/>
  <c r="I539" i="2" s="1"/>
  <c r="H541" i="1"/>
  <c r="I540" i="2" s="1"/>
  <c r="E540" i="1"/>
  <c r="E541" i="1"/>
  <c r="E539" i="1"/>
  <c r="H534" i="1"/>
  <c r="H533" i="1" s="1"/>
  <c r="H531" i="1" s="1"/>
  <c r="H530" i="1" s="1"/>
  <c r="I533" i="1"/>
  <c r="E534" i="1"/>
  <c r="E533" i="1" s="1"/>
  <c r="E530" i="2" s="1"/>
  <c r="E532" i="1"/>
  <c r="H584" i="1"/>
  <c r="H585" i="1"/>
  <c r="I586" i="2" s="1"/>
  <c r="E585" i="1"/>
  <c r="E586" i="2" s="1"/>
  <c r="E584" i="1"/>
  <c r="H574" i="1"/>
  <c r="H576" i="1"/>
  <c r="H578" i="1"/>
  <c r="E576" i="1"/>
  <c r="E578" i="1"/>
  <c r="E580" i="1"/>
  <c r="E574" i="1"/>
  <c r="E575" i="2" s="1"/>
  <c r="H561" i="1"/>
  <c r="I561" i="1"/>
  <c r="H562" i="1"/>
  <c r="I562" i="1"/>
  <c r="J563" i="2" s="1"/>
  <c r="H563" i="1"/>
  <c r="I563" i="1"/>
  <c r="J564" i="2"/>
  <c r="H564" i="1"/>
  <c r="I564" i="1"/>
  <c r="J565" i="2" s="1"/>
  <c r="H565" i="1"/>
  <c r="H560" i="1" s="1"/>
  <c r="I565" i="1"/>
  <c r="H566" i="1"/>
  <c r="I566" i="1"/>
  <c r="J567" i="2"/>
  <c r="H567" i="1"/>
  <c r="I567" i="1"/>
  <c r="J568" i="2" s="1"/>
  <c r="H568" i="1"/>
  <c r="I568" i="1"/>
  <c r="J569" i="2" s="1"/>
  <c r="H569" i="1"/>
  <c r="I569" i="1"/>
  <c r="H570" i="1"/>
  <c r="I570" i="1"/>
  <c r="J571" i="2" s="1"/>
  <c r="H571" i="1"/>
  <c r="I571" i="1"/>
  <c r="E562" i="1"/>
  <c r="E563" i="1"/>
  <c r="E564" i="1"/>
  <c r="E565" i="1"/>
  <c r="E566" i="2" s="1"/>
  <c r="E566" i="1"/>
  <c r="E567" i="1"/>
  <c r="E568" i="1"/>
  <c r="E569" i="1"/>
  <c r="E570" i="1"/>
  <c r="E571" i="1"/>
  <c r="E561" i="1"/>
  <c r="E562" i="2" s="1"/>
  <c r="H557" i="1"/>
  <c r="F559" i="2"/>
  <c r="H559" i="2" s="1"/>
  <c r="H558" i="1"/>
  <c r="H559" i="1"/>
  <c r="I560" i="2"/>
  <c r="K560" i="2"/>
  <c r="E558" i="1"/>
  <c r="E559" i="1"/>
  <c r="E557" i="1"/>
  <c r="E558" i="2" s="1"/>
  <c r="E551" i="1"/>
  <c r="E542" i="1" s="1"/>
  <c r="E541" i="2" s="1"/>
  <c r="E512" i="1"/>
  <c r="E513" i="1"/>
  <c r="E514" i="1"/>
  <c r="E515" i="1"/>
  <c r="E510" i="2"/>
  <c r="E516" i="1"/>
  <c r="E511" i="2" s="1"/>
  <c r="E517" i="1"/>
  <c r="E518" i="1"/>
  <c r="E519" i="1"/>
  <c r="E520" i="1"/>
  <c r="E514" i="2" s="1"/>
  <c r="E521" i="1"/>
  <c r="E516" i="2" s="1"/>
  <c r="E522" i="1"/>
  <c r="E523" i="1"/>
  <c r="E518" i="2" s="1"/>
  <c r="E524" i="1"/>
  <c r="E519" i="2" s="1"/>
  <c r="E511" i="1"/>
  <c r="E500" i="1"/>
  <c r="E501" i="1"/>
  <c r="E494" i="2" s="1"/>
  <c r="E502" i="1"/>
  <c r="E496" i="2"/>
  <c r="E505" i="1"/>
  <c r="E506" i="1"/>
  <c r="E498" i="2" s="1"/>
  <c r="E507" i="1"/>
  <c r="E508" i="1"/>
  <c r="E500" i="2" s="1"/>
  <c r="E499" i="1"/>
  <c r="H483" i="1"/>
  <c r="H482" i="1"/>
  <c r="I482" i="2" s="1"/>
  <c r="I482" i="1"/>
  <c r="J482" i="2" s="1"/>
  <c r="K482" i="2"/>
  <c r="H486" i="1"/>
  <c r="H488" i="1"/>
  <c r="H487" i="1" s="1"/>
  <c r="I486" i="2"/>
  <c r="I487" i="1"/>
  <c r="J486" i="2" s="1"/>
  <c r="K486" i="2"/>
  <c r="H491" i="1"/>
  <c r="H490" i="1" s="1"/>
  <c r="I488" i="2" s="1"/>
  <c r="K488" i="2"/>
  <c r="E491" i="1"/>
  <c r="E490" i="1" s="1"/>
  <c r="E488" i="2"/>
  <c r="E488" i="1"/>
  <c r="E487" i="1" s="1"/>
  <c r="E486" i="2" s="1"/>
  <c r="E486" i="1"/>
  <c r="E485" i="1" s="1"/>
  <c r="E483" i="1"/>
  <c r="E482" i="1" s="1"/>
  <c r="E482" i="2"/>
  <c r="E461" i="1"/>
  <c r="H460" i="1"/>
  <c r="I460" i="1"/>
  <c r="E460" i="1"/>
  <c r="H456" i="1"/>
  <c r="E456" i="1"/>
  <c r="E455" i="1" s="1"/>
  <c r="E451" i="2"/>
  <c r="H443" i="1"/>
  <c r="I443" i="1"/>
  <c r="F440" i="2"/>
  <c r="H440" i="2"/>
  <c r="H444" i="1"/>
  <c r="I444" i="1"/>
  <c r="F441" i="2"/>
  <c r="H441" i="2"/>
  <c r="H445" i="1"/>
  <c r="I445" i="1"/>
  <c r="F442" i="2"/>
  <c r="H442" i="2"/>
  <c r="H446" i="1"/>
  <c r="I446" i="1"/>
  <c r="H447" i="1"/>
  <c r="I447" i="1"/>
  <c r="J443" i="2" s="1"/>
  <c r="F444" i="2"/>
  <c r="H444" i="2" s="1"/>
  <c r="H448" i="1"/>
  <c r="I448" i="1"/>
  <c r="J444" i="2" s="1"/>
  <c r="F445" i="2"/>
  <c r="H445" i="2"/>
  <c r="H449" i="1"/>
  <c r="I449" i="1"/>
  <c r="J445" i="2" s="1"/>
  <c r="F446" i="2"/>
  <c r="H446" i="2" s="1"/>
  <c r="H450" i="1"/>
  <c r="I450" i="1"/>
  <c r="J446" i="2"/>
  <c r="H451" i="1"/>
  <c r="I451" i="1"/>
  <c r="J447" i="2" s="1"/>
  <c r="F448" i="2"/>
  <c r="H448" i="2" s="1"/>
  <c r="H452" i="1"/>
  <c r="I452" i="1"/>
  <c r="J448" i="2"/>
  <c r="H453" i="1"/>
  <c r="I453" i="1"/>
  <c r="H454" i="1"/>
  <c r="I454" i="1"/>
  <c r="E444" i="1"/>
  <c r="E445" i="1"/>
  <c r="E446" i="1"/>
  <c r="E442" i="2"/>
  <c r="E447" i="1"/>
  <c r="E448" i="1"/>
  <c r="E449" i="1"/>
  <c r="E445" i="2"/>
  <c r="E450" i="1"/>
  <c r="E446" i="2" s="1"/>
  <c r="E451" i="1"/>
  <c r="E452" i="1"/>
  <c r="E453" i="1"/>
  <c r="E454" i="1"/>
  <c r="E443" i="1"/>
  <c r="F436" i="2"/>
  <c r="H436" i="2" s="1"/>
  <c r="H441" i="1"/>
  <c r="I441" i="1"/>
  <c r="K436" i="2"/>
  <c r="E441" i="1"/>
  <c r="E436" i="2" s="1"/>
  <c r="H425" i="1"/>
  <c r="I425" i="1"/>
  <c r="J421" i="2" s="1"/>
  <c r="K421" i="2"/>
  <c r="H426" i="1"/>
  <c r="I426" i="1"/>
  <c r="K422" i="2"/>
  <c r="H427" i="1"/>
  <c r="I427" i="1"/>
  <c r="K423" i="2"/>
  <c r="H428" i="1"/>
  <c r="I424" i="2" s="1"/>
  <c r="I428" i="1"/>
  <c r="H429" i="1"/>
  <c r="I429" i="1"/>
  <c r="K425" i="2"/>
  <c r="H430" i="1"/>
  <c r="I430" i="1"/>
  <c r="K426" i="2"/>
  <c r="H431" i="1"/>
  <c r="I427" i="2" s="1"/>
  <c r="I431" i="1"/>
  <c r="J427" i="2" s="1"/>
  <c r="K427" i="2"/>
  <c r="H432" i="1"/>
  <c r="I432" i="1"/>
  <c r="H433" i="1"/>
  <c r="I433" i="1"/>
  <c r="K429" i="2"/>
  <c r="H434" i="1"/>
  <c r="I434" i="1"/>
  <c r="J430" i="2" s="1"/>
  <c r="F431" i="2"/>
  <c r="H431" i="2" s="1"/>
  <c r="H435" i="1"/>
  <c r="I435" i="1"/>
  <c r="H436" i="1"/>
  <c r="I436" i="1"/>
  <c r="F433" i="2"/>
  <c r="H433" i="2" s="1"/>
  <c r="H437" i="1"/>
  <c r="I433" i="2" s="1"/>
  <c r="I437" i="1"/>
  <c r="E426" i="1"/>
  <c r="E422" i="2" s="1"/>
  <c r="E427" i="1"/>
  <c r="E423" i="2" s="1"/>
  <c r="E428" i="1"/>
  <c r="E429" i="1"/>
  <c r="E430" i="1"/>
  <c r="E426" i="2" s="1"/>
  <c r="E431" i="1"/>
  <c r="E427" i="2" s="1"/>
  <c r="E432" i="1"/>
  <c r="E428" i="2" s="1"/>
  <c r="E433" i="1"/>
  <c r="E434" i="1"/>
  <c r="E430" i="2" s="1"/>
  <c r="E435" i="1"/>
  <c r="E431" i="2" s="1"/>
  <c r="E436" i="1"/>
  <c r="E437" i="1"/>
  <c r="E425" i="1"/>
  <c r="E421" i="2" s="1"/>
  <c r="H413" i="1"/>
  <c r="I413" i="1"/>
  <c r="H414" i="1"/>
  <c r="H412" i="1" s="1"/>
  <c r="I414" i="1"/>
  <c r="K410" i="2"/>
  <c r="H415" i="1"/>
  <c r="I415" i="1"/>
  <c r="K411" i="2"/>
  <c r="H416" i="1"/>
  <c r="I416" i="1"/>
  <c r="I411" i="1"/>
  <c r="J407" i="2" s="1"/>
  <c r="K407" i="2"/>
  <c r="H417" i="1"/>
  <c r="I413" i="2"/>
  <c r="I417" i="1"/>
  <c r="J413" i="2" s="1"/>
  <c r="H418" i="1"/>
  <c r="I414" i="2"/>
  <c r="I418" i="1"/>
  <c r="J414" i="2" s="1"/>
  <c r="H419" i="1"/>
  <c r="I415" i="2"/>
  <c r="I419" i="1"/>
  <c r="J415" i="2" s="1"/>
  <c r="H420" i="1"/>
  <c r="I420" i="1"/>
  <c r="J416" i="2" s="1"/>
  <c r="H421" i="1"/>
  <c r="I421" i="1"/>
  <c r="J417" i="2"/>
  <c r="K417" i="2"/>
  <c r="H422" i="1"/>
  <c r="I422" i="1"/>
  <c r="H423" i="1"/>
  <c r="I423" i="1"/>
  <c r="E414" i="1"/>
  <c r="E415" i="1"/>
  <c r="E416" i="1"/>
  <c r="E411" i="1" s="1"/>
  <c r="E407" i="2" s="1"/>
  <c r="E417" i="1"/>
  <c r="E418" i="1"/>
  <c r="E419" i="1"/>
  <c r="E420" i="1"/>
  <c r="E416" i="2"/>
  <c r="E421" i="1"/>
  <c r="E422" i="1"/>
  <c r="E423" i="1"/>
  <c r="E413" i="1"/>
  <c r="H389" i="1"/>
  <c r="I389" i="1"/>
  <c r="H390" i="1"/>
  <c r="I390" i="1"/>
  <c r="F387" i="2"/>
  <c r="H387" i="2" s="1"/>
  <c r="H391" i="1"/>
  <c r="I391" i="1"/>
  <c r="F388" i="2"/>
  <c r="H388" i="2" s="1"/>
  <c r="H392" i="1"/>
  <c r="I392" i="1"/>
  <c r="F389" i="2"/>
  <c r="H389" i="2" s="1"/>
  <c r="H393" i="1"/>
  <c r="I393" i="1"/>
  <c r="H394" i="1"/>
  <c r="I394" i="1"/>
  <c r="F391" i="2"/>
  <c r="H391" i="2"/>
  <c r="H395" i="1"/>
  <c r="I395" i="1"/>
  <c r="J391" i="2" s="1"/>
  <c r="F392" i="2"/>
  <c r="H392" i="2" s="1"/>
  <c r="H396" i="1"/>
  <c r="I396" i="1"/>
  <c r="F393" i="2"/>
  <c r="H393" i="2" s="1"/>
  <c r="H397" i="1"/>
  <c r="I397" i="1"/>
  <c r="J393" i="2"/>
  <c r="H398" i="1"/>
  <c r="I398" i="1"/>
  <c r="J394" i="2" s="1"/>
  <c r="F395" i="2"/>
  <c r="H395" i="2" s="1"/>
  <c r="H399" i="1"/>
  <c r="I399" i="1"/>
  <c r="F396" i="2"/>
  <c r="H396" i="2" s="1"/>
  <c r="H400" i="1"/>
  <c r="I400" i="1"/>
  <c r="J396" i="2"/>
  <c r="F397" i="2"/>
  <c r="H397" i="2" s="1"/>
  <c r="H401" i="1"/>
  <c r="I401" i="1"/>
  <c r="H402" i="1"/>
  <c r="I402" i="1"/>
  <c r="F399" i="2"/>
  <c r="H399" i="2"/>
  <c r="H403" i="1"/>
  <c r="I403" i="1"/>
  <c r="J399" i="2" s="1"/>
  <c r="H404" i="1"/>
  <c r="I404" i="1"/>
  <c r="J400" i="2" s="1"/>
  <c r="H405" i="1"/>
  <c r="I405" i="1"/>
  <c r="H406" i="1"/>
  <c r="I406" i="1"/>
  <c r="J402" i="2" s="1"/>
  <c r="H407" i="1"/>
  <c r="I403" i="2" s="1"/>
  <c r="I407" i="1"/>
  <c r="M407" i="1"/>
  <c r="E390" i="1"/>
  <c r="E391" i="1"/>
  <c r="E387" i="2" s="1"/>
  <c r="E392" i="1"/>
  <c r="E388" i="2" s="1"/>
  <c r="E393" i="1"/>
  <c r="E394" i="1"/>
  <c r="E395" i="1"/>
  <c r="E396" i="1"/>
  <c r="E392" i="2" s="1"/>
  <c r="E397" i="1"/>
  <c r="E398" i="1"/>
  <c r="E399" i="1"/>
  <c r="E395" i="2" s="1"/>
  <c r="E400" i="1"/>
  <c r="E396" i="2" s="1"/>
  <c r="E401" i="1"/>
  <c r="E402" i="1"/>
  <c r="E403" i="1"/>
  <c r="E399" i="2" s="1"/>
  <c r="E404" i="1"/>
  <c r="E400" i="2" s="1"/>
  <c r="E405" i="1"/>
  <c r="E406" i="1"/>
  <c r="E407" i="1"/>
  <c r="E403" i="2" s="1"/>
  <c r="E389" i="1"/>
  <c r="E384" i="1"/>
  <c r="H384" i="1"/>
  <c r="I380" i="2" s="1"/>
  <c r="I384" i="1"/>
  <c r="J380" i="2" s="1"/>
  <c r="E385" i="1"/>
  <c r="E381" i="2" s="1"/>
  <c r="H385" i="1"/>
  <c r="I385" i="1"/>
  <c r="E386" i="1"/>
  <c r="E382" i="2" s="1"/>
  <c r="F382" i="2"/>
  <c r="H382" i="2" s="1"/>
  <c r="H386" i="1"/>
  <c r="I386" i="1"/>
  <c r="E387" i="1"/>
  <c r="E383" i="2" s="1"/>
  <c r="H387" i="1"/>
  <c r="I387" i="1"/>
  <c r="K383" i="2"/>
  <c r="F378" i="2"/>
  <c r="H378" i="2" s="1"/>
  <c r="H383" i="1"/>
  <c r="I383" i="1"/>
  <c r="I382" i="1" s="1"/>
  <c r="K379" i="2"/>
  <c r="E383" i="1"/>
  <c r="E382" i="1" s="1"/>
  <c r="H363" i="1"/>
  <c r="I363" i="1" s="1"/>
  <c r="E363" i="1"/>
  <c r="E361" i="2" s="1"/>
  <c r="H359" i="1"/>
  <c r="I359" i="1" s="1"/>
  <c r="E359" i="1"/>
  <c r="E356" i="1"/>
  <c r="E356" i="2"/>
  <c r="K355" i="2"/>
  <c r="E355" i="1"/>
  <c r="H524" i="1"/>
  <c r="H520" i="1"/>
  <c r="I514" i="2" s="1"/>
  <c r="H517" i="1"/>
  <c r="I512" i="2" s="1"/>
  <c r="H513" i="1"/>
  <c r="I508" i="2" s="1"/>
  <c r="H502" i="1"/>
  <c r="H499" i="1"/>
  <c r="F516" i="2"/>
  <c r="H516" i="2"/>
  <c r="F514" i="2"/>
  <c r="H514" i="2" s="1"/>
  <c r="F513" i="2"/>
  <c r="H513" i="2"/>
  <c r="F508" i="2"/>
  <c r="H508" i="2" s="1"/>
  <c r="H356" i="1"/>
  <c r="I356" i="1"/>
  <c r="J78" i="2"/>
  <c r="J80" i="2"/>
  <c r="J81" i="2"/>
  <c r="J72" i="2"/>
  <c r="I74" i="2"/>
  <c r="J74" i="2"/>
  <c r="K74" i="2"/>
  <c r="I75" i="2"/>
  <c r="J75" i="2"/>
  <c r="E71" i="1"/>
  <c r="E256" i="2"/>
  <c r="L256" i="2"/>
  <c r="E593" i="1"/>
  <c r="H593" i="1"/>
  <c r="I593" i="1"/>
  <c r="E24" i="1"/>
  <c r="H24" i="1"/>
  <c r="I24" i="1"/>
  <c r="E25" i="1"/>
  <c r="H25" i="1"/>
  <c r="I25" i="1"/>
  <c r="E27" i="1"/>
  <c r="E26" i="1" s="1"/>
  <c r="H27" i="1"/>
  <c r="H26" i="1" s="1"/>
  <c r="I27" i="1"/>
  <c r="I26" i="1" s="1"/>
  <c r="E28" i="1"/>
  <c r="M28" i="1" s="1"/>
  <c r="H28" i="1"/>
  <c r="N28" i="1" s="1"/>
  <c r="I28" i="1"/>
  <c r="O28" i="1" s="1"/>
  <c r="Q28" i="1"/>
  <c r="E29" i="1"/>
  <c r="H29" i="1"/>
  <c r="I29" i="1"/>
  <c r="E31" i="1"/>
  <c r="H31" i="1"/>
  <c r="I31" i="1"/>
  <c r="E32" i="1"/>
  <c r="H32" i="1"/>
  <c r="I32" i="1"/>
  <c r="E33" i="1"/>
  <c r="H33" i="1"/>
  <c r="I33" i="1"/>
  <c r="E38" i="1"/>
  <c r="E37" i="1"/>
  <c r="H38" i="1"/>
  <c r="H37" i="1" s="1"/>
  <c r="I38" i="1"/>
  <c r="I37" i="1"/>
  <c r="E40" i="1"/>
  <c r="H40" i="1"/>
  <c r="I40" i="1"/>
  <c r="E41" i="1"/>
  <c r="H41" i="1"/>
  <c r="I41" i="1"/>
  <c r="E44" i="1"/>
  <c r="I44" i="1"/>
  <c r="E45" i="1"/>
  <c r="H45" i="1"/>
  <c r="I45" i="1"/>
  <c r="E53" i="1"/>
  <c r="E55" i="1"/>
  <c r="E57" i="1"/>
  <c r="H57" i="1"/>
  <c r="I57" i="1"/>
  <c r="E62" i="1"/>
  <c r="E61" i="1" s="1"/>
  <c r="H62" i="1"/>
  <c r="H61" i="1"/>
  <c r="I62" i="1"/>
  <c r="I61" i="1" s="1"/>
  <c r="J66" i="2"/>
  <c r="E68" i="1"/>
  <c r="E589" i="1" s="1"/>
  <c r="E603" i="1" s="1"/>
  <c r="E92" i="1"/>
  <c r="H92" i="1"/>
  <c r="E103" i="1"/>
  <c r="E100" i="2" s="1"/>
  <c r="E123" i="1"/>
  <c r="H123" i="1"/>
  <c r="I123" i="1"/>
  <c r="E129" i="1"/>
  <c r="E122" i="1" s="1"/>
  <c r="E154" i="1"/>
  <c r="E155" i="1"/>
  <c r="E42" i="1"/>
  <c r="E185" i="1"/>
  <c r="E183" i="1" s="1"/>
  <c r="H185" i="1"/>
  <c r="I185" i="1"/>
  <c r="I183" i="1" s="1"/>
  <c r="E198" i="1"/>
  <c r="E58" i="1" s="1"/>
  <c r="H198" i="1"/>
  <c r="H58" i="1" s="1"/>
  <c r="I198" i="1"/>
  <c r="I58" i="1" s="1"/>
  <c r="E202" i="1"/>
  <c r="E201" i="1" s="1"/>
  <c r="E48" i="1"/>
  <c r="E228" i="1"/>
  <c r="E51" i="1"/>
  <c r="E49" i="1"/>
  <c r="E50" i="1"/>
  <c r="F231" i="2"/>
  <c r="E252" i="1"/>
  <c r="E237" i="1" s="1"/>
  <c r="E59" i="1"/>
  <c r="H59" i="1"/>
  <c r="H21" i="1" s="1"/>
  <c r="I59" i="1"/>
  <c r="E286" i="1"/>
  <c r="H286" i="1"/>
  <c r="H282" i="1"/>
  <c r="H281" i="1" s="1"/>
  <c r="H280" i="1" s="1"/>
  <c r="E304" i="1"/>
  <c r="E299" i="1" s="1"/>
  <c r="E298" i="1" s="1"/>
  <c r="H304" i="1"/>
  <c r="H299" i="1" s="1"/>
  <c r="H298" i="1" s="1"/>
  <c r="I304" i="1"/>
  <c r="I299" i="1"/>
  <c r="I298" i="1" s="1"/>
  <c r="E316" i="1"/>
  <c r="E46" i="1" s="1"/>
  <c r="I316" i="1"/>
  <c r="I46" i="1" s="1"/>
  <c r="P322" i="1"/>
  <c r="Q322" i="1"/>
  <c r="P323" i="1"/>
  <c r="Q323" i="1"/>
  <c r="E326" i="1"/>
  <c r="E60" i="1" s="1"/>
  <c r="H326" i="1"/>
  <c r="I326" i="1"/>
  <c r="I60" i="1" s="1"/>
  <c r="E365" i="1"/>
  <c r="H382" i="1"/>
  <c r="H411" i="1"/>
  <c r="H455" i="1"/>
  <c r="I455" i="1"/>
  <c r="I459" i="1"/>
  <c r="I458" i="1" s="1"/>
  <c r="I561" i="2"/>
  <c r="K561" i="2"/>
  <c r="M578" i="1"/>
  <c r="O578" i="1"/>
  <c r="Q578" i="1"/>
  <c r="M579" i="1"/>
  <c r="P579" i="1"/>
  <c r="I582" i="1"/>
  <c r="K14" i="2"/>
  <c r="K66" i="2"/>
  <c r="E15" i="2"/>
  <c r="E67" i="2" s="1"/>
  <c r="E345" i="2" s="1"/>
  <c r="E590" i="2" s="1"/>
  <c r="E603" i="2" s="1"/>
  <c r="J61" i="2"/>
  <c r="J60" i="2" s="1"/>
  <c r="K61" i="2"/>
  <c r="K60" i="2" s="1"/>
  <c r="E72" i="2"/>
  <c r="E73" i="2"/>
  <c r="L73" i="2"/>
  <c r="F73" i="2"/>
  <c r="H73" i="2" s="1"/>
  <c r="I73" i="2"/>
  <c r="J73" i="2"/>
  <c r="K73" i="2"/>
  <c r="E74" i="2"/>
  <c r="L74" i="2" s="1"/>
  <c r="F74" i="2"/>
  <c r="H74" i="2" s="1"/>
  <c r="E75" i="2"/>
  <c r="L75" i="2" s="1"/>
  <c r="F75" i="2"/>
  <c r="H75" i="2" s="1"/>
  <c r="K75" i="2"/>
  <c r="E76" i="2"/>
  <c r="L76" i="2"/>
  <c r="B77" i="2"/>
  <c r="E77" i="2"/>
  <c r="L77" i="2" s="1"/>
  <c r="B78" i="2"/>
  <c r="E78" i="2"/>
  <c r="L78" i="2" s="1"/>
  <c r="F78" i="2"/>
  <c r="H78" i="2"/>
  <c r="I78" i="2"/>
  <c r="K78" i="2"/>
  <c r="E80" i="2"/>
  <c r="L80" i="2"/>
  <c r="E81" i="2"/>
  <c r="L81" i="2" s="1"/>
  <c r="F81" i="2"/>
  <c r="H81" i="2"/>
  <c r="I81" i="2"/>
  <c r="E82" i="2"/>
  <c r="L82" i="2" s="1"/>
  <c r="F82" i="2"/>
  <c r="H82" i="2" s="1"/>
  <c r="J82" i="2"/>
  <c r="K82" i="2"/>
  <c r="E83" i="2"/>
  <c r="F83" i="2"/>
  <c r="H83" i="2" s="1"/>
  <c r="I83" i="2"/>
  <c r="K83" i="2"/>
  <c r="E84" i="2"/>
  <c r="L84" i="2" s="1"/>
  <c r="F84" i="2"/>
  <c r="H84" i="2"/>
  <c r="E85" i="2"/>
  <c r="L85" i="2" s="1"/>
  <c r="I85" i="2"/>
  <c r="E90" i="2"/>
  <c r="F90" i="2"/>
  <c r="H90" i="2" s="1"/>
  <c r="I90" i="2"/>
  <c r="K90" i="2"/>
  <c r="K89" i="2" s="1"/>
  <c r="E91" i="2"/>
  <c r="L91" i="2" s="1"/>
  <c r="F91" i="2"/>
  <c r="H91" i="2" s="1"/>
  <c r="I91" i="2"/>
  <c r="J91" i="2"/>
  <c r="K91" i="2"/>
  <c r="E92" i="2"/>
  <c r="L92" i="2" s="1"/>
  <c r="F92" i="2"/>
  <c r="H92" i="2"/>
  <c r="I92" i="2"/>
  <c r="K92" i="2"/>
  <c r="E94" i="2"/>
  <c r="F94" i="2"/>
  <c r="H94" i="2" s="1"/>
  <c r="I94" i="2"/>
  <c r="J94" i="2"/>
  <c r="K94" i="2"/>
  <c r="E96" i="2"/>
  <c r="L96" i="2" s="1"/>
  <c r="F96" i="2"/>
  <c r="H96" i="2"/>
  <c r="I96" i="2"/>
  <c r="J96" i="2"/>
  <c r="K96" i="2"/>
  <c r="E98" i="2"/>
  <c r="L98" i="2" s="1"/>
  <c r="F98" i="2"/>
  <c r="H98" i="2" s="1"/>
  <c r="I98" i="2"/>
  <c r="J98" i="2"/>
  <c r="K98" i="2"/>
  <c r="I100" i="2"/>
  <c r="K100" i="2"/>
  <c r="E101" i="2"/>
  <c r="L101" i="2" s="1"/>
  <c r="F101" i="2"/>
  <c r="H101" i="2"/>
  <c r="I101" i="2"/>
  <c r="J101" i="2"/>
  <c r="K101" i="2"/>
  <c r="E104" i="2"/>
  <c r="L104" i="2" s="1"/>
  <c r="F104" i="2"/>
  <c r="H104" i="2" s="1"/>
  <c r="I104" i="2"/>
  <c r="J104" i="2"/>
  <c r="K104" i="2"/>
  <c r="E105" i="2"/>
  <c r="L105" i="2"/>
  <c r="F105" i="2"/>
  <c r="H105" i="2" s="1"/>
  <c r="I105" i="2"/>
  <c r="J105" i="2"/>
  <c r="K105" i="2"/>
  <c r="E106" i="2"/>
  <c r="L106" i="2" s="1"/>
  <c r="F106" i="2"/>
  <c r="H106" i="2" s="1"/>
  <c r="I106" i="2"/>
  <c r="J106" i="2"/>
  <c r="K106" i="2"/>
  <c r="E107" i="2"/>
  <c r="L107" i="2" s="1"/>
  <c r="F107" i="2"/>
  <c r="I107" i="2"/>
  <c r="J107" i="2"/>
  <c r="K107" i="2"/>
  <c r="E108" i="2"/>
  <c r="L108" i="2"/>
  <c r="F108" i="2"/>
  <c r="I108" i="2"/>
  <c r="J108" i="2"/>
  <c r="K108" i="2"/>
  <c r="E109" i="2"/>
  <c r="L109" i="2" s="1"/>
  <c r="F109" i="2"/>
  <c r="I109" i="2"/>
  <c r="K109" i="2"/>
  <c r="E110" i="2"/>
  <c r="L110" i="2"/>
  <c r="F110" i="2"/>
  <c r="I110" i="2"/>
  <c r="J110" i="2"/>
  <c r="K110" i="2"/>
  <c r="E118" i="2"/>
  <c r="F118" i="2"/>
  <c r="H118" i="2" s="1"/>
  <c r="I118" i="2"/>
  <c r="I117" i="2" s="1"/>
  <c r="J118" i="2"/>
  <c r="J117" i="2" s="1"/>
  <c r="K118" i="2"/>
  <c r="K117" i="2" s="1"/>
  <c r="E119" i="2"/>
  <c r="L119" i="2" s="1"/>
  <c r="F119" i="2"/>
  <c r="H119" i="2" s="1"/>
  <c r="I119" i="2"/>
  <c r="J119" i="2"/>
  <c r="K119" i="2"/>
  <c r="E120" i="2"/>
  <c r="F120" i="2"/>
  <c r="H120" i="2" s="1"/>
  <c r="I120" i="2"/>
  <c r="I28" i="2" s="1"/>
  <c r="J120" i="2"/>
  <c r="J28" i="2" s="1"/>
  <c r="K120" i="2"/>
  <c r="K28" i="2" s="1"/>
  <c r="E121" i="2"/>
  <c r="L121" i="2" s="1"/>
  <c r="F121" i="2"/>
  <c r="H121" i="2" s="1"/>
  <c r="I121" i="2"/>
  <c r="J121" i="2"/>
  <c r="K121" i="2"/>
  <c r="E122" i="2"/>
  <c r="L122" i="2"/>
  <c r="F122" i="2"/>
  <c r="H122" i="2"/>
  <c r="I122" i="2"/>
  <c r="J122" i="2"/>
  <c r="K122" i="2"/>
  <c r="E124" i="2"/>
  <c r="F124" i="2"/>
  <c r="H124" i="2" s="1"/>
  <c r="I124" i="2"/>
  <c r="J124" i="2"/>
  <c r="K124" i="2"/>
  <c r="E125" i="2"/>
  <c r="L125" i="2"/>
  <c r="F125" i="2"/>
  <c r="H125" i="2"/>
  <c r="I125" i="2"/>
  <c r="J125" i="2"/>
  <c r="K125" i="2"/>
  <c r="E126" i="2"/>
  <c r="L126" i="2" s="1"/>
  <c r="F126" i="2"/>
  <c r="H126" i="2" s="1"/>
  <c r="I126" i="2"/>
  <c r="J126" i="2"/>
  <c r="K126" i="2"/>
  <c r="E127" i="2"/>
  <c r="L127" i="2"/>
  <c r="F127" i="2"/>
  <c r="H127" i="2"/>
  <c r="I127" i="2"/>
  <c r="J127" i="2"/>
  <c r="K127" i="2"/>
  <c r="E128" i="2"/>
  <c r="L128" i="2" s="1"/>
  <c r="F128" i="2"/>
  <c r="H128" i="2" s="1"/>
  <c r="I128" i="2"/>
  <c r="J128" i="2"/>
  <c r="K128" i="2"/>
  <c r="E129" i="2"/>
  <c r="L129" i="2"/>
  <c r="F129" i="2"/>
  <c r="H129" i="2"/>
  <c r="I129" i="2"/>
  <c r="J129" i="2"/>
  <c r="K129" i="2"/>
  <c r="E130" i="2"/>
  <c r="L130" i="2" s="1"/>
  <c r="F130" i="2"/>
  <c r="H130" i="2" s="1"/>
  <c r="I130" i="2"/>
  <c r="J130" i="2"/>
  <c r="K130" i="2"/>
  <c r="E131" i="2"/>
  <c r="L131" i="2"/>
  <c r="F131" i="2"/>
  <c r="H131" i="2"/>
  <c r="I131" i="2"/>
  <c r="J131" i="2"/>
  <c r="K131" i="2"/>
  <c r="E132" i="2"/>
  <c r="L132" i="2" s="1"/>
  <c r="F132" i="2"/>
  <c r="H132" i="2" s="1"/>
  <c r="I132" i="2"/>
  <c r="J132" i="2"/>
  <c r="K132" i="2"/>
  <c r="E133" i="2"/>
  <c r="L133" i="2"/>
  <c r="F133" i="2"/>
  <c r="H133" i="2"/>
  <c r="I133" i="2"/>
  <c r="J133" i="2"/>
  <c r="K133" i="2"/>
  <c r="E134" i="2"/>
  <c r="L134" i="2" s="1"/>
  <c r="F134" i="2"/>
  <c r="H134" i="2" s="1"/>
  <c r="I134" i="2"/>
  <c r="J134" i="2"/>
  <c r="K134" i="2"/>
  <c r="E135" i="2"/>
  <c r="L135" i="2"/>
  <c r="F135" i="2"/>
  <c r="H135" i="2"/>
  <c r="I135" i="2"/>
  <c r="J135" i="2"/>
  <c r="K135" i="2"/>
  <c r="E136" i="2"/>
  <c r="L136" i="2" s="1"/>
  <c r="F136" i="2"/>
  <c r="H136" i="2" s="1"/>
  <c r="I136" i="2"/>
  <c r="J136" i="2"/>
  <c r="K136" i="2"/>
  <c r="E137" i="2"/>
  <c r="L137" i="2"/>
  <c r="F137" i="2"/>
  <c r="H137" i="2"/>
  <c r="I137" i="2"/>
  <c r="J137" i="2"/>
  <c r="K137" i="2"/>
  <c r="E138" i="2"/>
  <c r="L138" i="2" s="1"/>
  <c r="F138" i="2"/>
  <c r="H138" i="2" s="1"/>
  <c r="I138" i="2"/>
  <c r="J138" i="2"/>
  <c r="K138" i="2"/>
  <c r="E139" i="2"/>
  <c r="L139" i="2"/>
  <c r="F139" i="2"/>
  <c r="H139" i="2"/>
  <c r="I139" i="2"/>
  <c r="J139" i="2"/>
  <c r="K139" i="2"/>
  <c r="E140" i="2"/>
  <c r="L140" i="2" s="1"/>
  <c r="F140" i="2"/>
  <c r="H140" i="2" s="1"/>
  <c r="I140" i="2"/>
  <c r="J140" i="2"/>
  <c r="K140" i="2"/>
  <c r="E141" i="2"/>
  <c r="L141" i="2"/>
  <c r="F141" i="2"/>
  <c r="H141" i="2"/>
  <c r="I141" i="2"/>
  <c r="K141" i="2"/>
  <c r="E144" i="2"/>
  <c r="L144" i="2"/>
  <c r="F144" i="2"/>
  <c r="H144" i="2"/>
  <c r="I144" i="2"/>
  <c r="J144" i="2"/>
  <c r="K144" i="2"/>
  <c r="E150" i="2"/>
  <c r="L150" i="2" s="1"/>
  <c r="F150" i="2"/>
  <c r="H150" i="2" s="1"/>
  <c r="I150" i="2"/>
  <c r="I149" i="2" s="1"/>
  <c r="I41" i="2" s="1"/>
  <c r="J150" i="2"/>
  <c r="K150" i="2"/>
  <c r="E151" i="2"/>
  <c r="L151" i="2"/>
  <c r="F151" i="2"/>
  <c r="H151" i="2"/>
  <c r="I151" i="2"/>
  <c r="J151" i="2"/>
  <c r="K151" i="2"/>
  <c r="E152" i="2"/>
  <c r="L152" i="2" s="1"/>
  <c r="F152" i="2"/>
  <c r="H152" i="2" s="1"/>
  <c r="I152" i="2"/>
  <c r="J152" i="2"/>
  <c r="K152" i="2"/>
  <c r="E153" i="2"/>
  <c r="F153" i="2"/>
  <c r="H153" i="2" s="1"/>
  <c r="I153" i="2"/>
  <c r="I148" i="2" s="1"/>
  <c r="J153" i="2"/>
  <c r="J148" i="2" s="1"/>
  <c r="K153" i="2"/>
  <c r="K148" i="2" s="1"/>
  <c r="E154" i="2"/>
  <c r="L154" i="2" s="1"/>
  <c r="I154" i="2"/>
  <c r="J154" i="2"/>
  <c r="K154" i="2"/>
  <c r="E155" i="2"/>
  <c r="F155" i="2"/>
  <c r="H155" i="2" s="1"/>
  <c r="I155" i="2"/>
  <c r="I37" i="2" s="1"/>
  <c r="I36" i="2" s="1"/>
  <c r="J155" i="2"/>
  <c r="J37" i="2"/>
  <c r="J36" i="2" s="1"/>
  <c r="K155" i="2"/>
  <c r="K37" i="2" s="1"/>
  <c r="K36" i="2" s="1"/>
  <c r="E156" i="2"/>
  <c r="F156" i="2"/>
  <c r="H156" i="2" s="1"/>
  <c r="I156" i="2"/>
  <c r="I39" i="2" s="1"/>
  <c r="J156" i="2"/>
  <c r="J39" i="2" s="1"/>
  <c r="K156" i="2"/>
  <c r="K39" i="2" s="1"/>
  <c r="E157" i="2"/>
  <c r="F157" i="2"/>
  <c r="H157" i="2"/>
  <c r="I157" i="2"/>
  <c r="I27" i="2"/>
  <c r="J157" i="2"/>
  <c r="J27" i="2"/>
  <c r="K157" i="2"/>
  <c r="K27" i="2"/>
  <c r="E158" i="2"/>
  <c r="L158" i="2"/>
  <c r="F158" i="2"/>
  <c r="H158" i="2"/>
  <c r="I158" i="2"/>
  <c r="J158" i="2"/>
  <c r="K158" i="2"/>
  <c r="E159" i="2"/>
  <c r="L159" i="2" s="1"/>
  <c r="I159" i="2"/>
  <c r="J159" i="2"/>
  <c r="K159" i="2"/>
  <c r="E160" i="2"/>
  <c r="F160" i="2"/>
  <c r="H160" i="2" s="1"/>
  <c r="I160" i="2"/>
  <c r="I32" i="2" s="1"/>
  <c r="J160" i="2"/>
  <c r="J32" i="2" s="1"/>
  <c r="K160" i="2"/>
  <c r="K32" i="2" s="1"/>
  <c r="E162" i="2"/>
  <c r="L162" i="2" s="1"/>
  <c r="F162" i="2"/>
  <c r="H162" i="2" s="1"/>
  <c r="I162" i="2"/>
  <c r="J162" i="2"/>
  <c r="K162" i="2"/>
  <c r="E163" i="2"/>
  <c r="L163" i="2"/>
  <c r="F163" i="2"/>
  <c r="H163" i="2"/>
  <c r="I163" i="2"/>
  <c r="J163" i="2"/>
  <c r="K163" i="2"/>
  <c r="E164" i="2"/>
  <c r="L164" i="2" s="1"/>
  <c r="F164" i="2"/>
  <c r="H164" i="2" s="1"/>
  <c r="I164" i="2"/>
  <c r="J164" i="2"/>
  <c r="K164" i="2"/>
  <c r="E165" i="2"/>
  <c r="L165" i="2"/>
  <c r="F165" i="2"/>
  <c r="H165" i="2"/>
  <c r="I165" i="2"/>
  <c r="J165" i="2"/>
  <c r="K165" i="2"/>
  <c r="E166" i="2"/>
  <c r="L166" i="2" s="1"/>
  <c r="F166" i="2"/>
  <c r="H166" i="2" s="1"/>
  <c r="I166" i="2"/>
  <c r="J166" i="2"/>
  <c r="K166" i="2"/>
  <c r="E167" i="2"/>
  <c r="L167" i="2"/>
  <c r="F167" i="2"/>
  <c r="H167" i="2"/>
  <c r="I167" i="2"/>
  <c r="J167" i="2"/>
  <c r="K167" i="2"/>
  <c r="E168" i="2"/>
  <c r="L168" i="2" s="1"/>
  <c r="F168" i="2"/>
  <c r="H168" i="2" s="1"/>
  <c r="I168" i="2"/>
  <c r="J168" i="2"/>
  <c r="K168" i="2"/>
  <c r="E169" i="2"/>
  <c r="L169" i="2"/>
  <c r="F169" i="2"/>
  <c r="H169" i="2"/>
  <c r="I169" i="2"/>
  <c r="J169" i="2"/>
  <c r="K169" i="2"/>
  <c r="E170" i="2"/>
  <c r="L170" i="2" s="1"/>
  <c r="F170" i="2"/>
  <c r="H170" i="2" s="1"/>
  <c r="I170" i="2"/>
  <c r="J170" i="2"/>
  <c r="K170" i="2"/>
  <c r="E171" i="2"/>
  <c r="L171" i="2"/>
  <c r="F171" i="2"/>
  <c r="H171" i="2"/>
  <c r="I171" i="2"/>
  <c r="J171" i="2"/>
  <c r="K171" i="2"/>
  <c r="E172" i="2"/>
  <c r="L172" i="2" s="1"/>
  <c r="F172" i="2"/>
  <c r="H172" i="2" s="1"/>
  <c r="K172" i="2"/>
  <c r="E173" i="2"/>
  <c r="L173" i="2"/>
  <c r="F173" i="2"/>
  <c r="H173" i="2"/>
  <c r="K173" i="2"/>
  <c r="E174" i="2"/>
  <c r="L174" i="2" s="1"/>
  <c r="F174" i="2"/>
  <c r="H174" i="2" s="1"/>
  <c r="I174" i="2"/>
  <c r="J174" i="2"/>
  <c r="K174" i="2"/>
  <c r="E177" i="2"/>
  <c r="L177" i="2"/>
  <c r="F177" i="2"/>
  <c r="H177" i="2"/>
  <c r="I177" i="2"/>
  <c r="J177" i="2"/>
  <c r="K177" i="2"/>
  <c r="E180" i="2"/>
  <c r="L180" i="2" s="1"/>
  <c r="F180" i="2"/>
  <c r="H180" i="2" s="1"/>
  <c r="I180" i="2"/>
  <c r="J180" i="2"/>
  <c r="K180" i="2"/>
  <c r="E181" i="2"/>
  <c r="L181" i="2"/>
  <c r="F181" i="2"/>
  <c r="H181" i="2"/>
  <c r="I181" i="2"/>
  <c r="J181" i="2"/>
  <c r="K181" i="2"/>
  <c r="E182" i="2"/>
  <c r="L182" i="2" s="1"/>
  <c r="F182" i="2"/>
  <c r="H182" i="2" s="1"/>
  <c r="I182" i="2"/>
  <c r="J182" i="2"/>
  <c r="K182" i="2"/>
  <c r="E183" i="2"/>
  <c r="L183" i="2"/>
  <c r="F183" i="2"/>
  <c r="H183" i="2"/>
  <c r="I183" i="2"/>
  <c r="J183" i="2"/>
  <c r="K183" i="2"/>
  <c r="E184" i="2"/>
  <c r="L184" i="2" s="1"/>
  <c r="F184" i="2"/>
  <c r="H184" i="2" s="1"/>
  <c r="I184" i="2"/>
  <c r="J184" i="2"/>
  <c r="K184" i="2"/>
  <c r="E185" i="2"/>
  <c r="L185" i="2"/>
  <c r="F185" i="2"/>
  <c r="H185" i="2"/>
  <c r="I185" i="2"/>
  <c r="J185" i="2"/>
  <c r="K185" i="2"/>
  <c r="E186" i="2"/>
  <c r="L186" i="2" s="1"/>
  <c r="F186" i="2"/>
  <c r="H186" i="2" s="1"/>
  <c r="I186" i="2"/>
  <c r="J186" i="2"/>
  <c r="K186" i="2"/>
  <c r="E187" i="2"/>
  <c r="L187" i="2"/>
  <c r="F187" i="2"/>
  <c r="H187" i="2"/>
  <c r="I187" i="2"/>
  <c r="J187" i="2"/>
  <c r="K187" i="2"/>
  <c r="E188" i="2"/>
  <c r="L188" i="2" s="1"/>
  <c r="F188" i="2"/>
  <c r="H188" i="2" s="1"/>
  <c r="I188" i="2"/>
  <c r="J188" i="2"/>
  <c r="K188" i="2"/>
  <c r="E189" i="2"/>
  <c r="L189" i="2"/>
  <c r="F189" i="2"/>
  <c r="H189" i="2" s="1"/>
  <c r="I189" i="2"/>
  <c r="J189" i="2"/>
  <c r="K189" i="2"/>
  <c r="E190" i="2"/>
  <c r="L190" i="2" s="1"/>
  <c r="F190" i="2"/>
  <c r="H190" i="2"/>
  <c r="I190" i="2"/>
  <c r="J190" i="2"/>
  <c r="K190" i="2"/>
  <c r="E193" i="2"/>
  <c r="F193" i="2"/>
  <c r="H193" i="2" s="1"/>
  <c r="I193" i="2"/>
  <c r="I192" i="2" s="1"/>
  <c r="I57" i="2" s="1"/>
  <c r="J193" i="2"/>
  <c r="J192" i="2"/>
  <c r="J57" i="2" s="1"/>
  <c r="K193" i="2"/>
  <c r="K192" i="2" s="1"/>
  <c r="E197" i="2"/>
  <c r="L197" i="2" s="1"/>
  <c r="F197" i="2"/>
  <c r="H197" i="2" s="1"/>
  <c r="H196" i="2"/>
  <c r="H195" i="2"/>
  <c r="I197" i="2"/>
  <c r="J197" i="2"/>
  <c r="K197" i="2"/>
  <c r="E198" i="2"/>
  <c r="L198" i="2"/>
  <c r="F198" i="2"/>
  <c r="H198" i="2"/>
  <c r="I198" i="2"/>
  <c r="J198" i="2"/>
  <c r="K198" i="2"/>
  <c r="E223" i="2"/>
  <c r="E222" i="2" s="1"/>
  <c r="F223" i="2"/>
  <c r="H223" i="2" s="1"/>
  <c r="I223" i="2"/>
  <c r="I222" i="2" s="1"/>
  <c r="J223" i="2"/>
  <c r="K223" i="2"/>
  <c r="K222" i="2"/>
  <c r="E225" i="2"/>
  <c r="F225" i="2"/>
  <c r="H225" i="2" s="1"/>
  <c r="I225" i="2"/>
  <c r="J225" i="2"/>
  <c r="K225" i="2"/>
  <c r="E227" i="2"/>
  <c r="F227" i="2"/>
  <c r="H227" i="2"/>
  <c r="I227" i="2"/>
  <c r="K227" i="2"/>
  <c r="E229" i="2"/>
  <c r="E221" i="2"/>
  <c r="L221" i="2" s="1"/>
  <c r="F229" i="2"/>
  <c r="H229" i="2" s="1"/>
  <c r="I229" i="2"/>
  <c r="I221" i="2" s="1"/>
  <c r="J229" i="2"/>
  <c r="J228" i="2" s="1"/>
  <c r="J48" i="2" s="1"/>
  <c r="K229" i="2"/>
  <c r="B230" i="2"/>
  <c r="E231" i="2"/>
  <c r="L231" i="2" s="1"/>
  <c r="E237" i="2"/>
  <c r="L237" i="2"/>
  <c r="F237" i="2"/>
  <c r="H237" i="2" s="1"/>
  <c r="I237" i="2"/>
  <c r="E238" i="2"/>
  <c r="L238" i="2"/>
  <c r="F238" i="2"/>
  <c r="H238" i="2"/>
  <c r="E239" i="2"/>
  <c r="F239" i="2"/>
  <c r="H239" i="2" s="1"/>
  <c r="E240" i="2"/>
  <c r="L240" i="2" s="1"/>
  <c r="F240" i="2"/>
  <c r="H240" i="2" s="1"/>
  <c r="I240" i="2"/>
  <c r="L241" i="2"/>
  <c r="E243" i="2"/>
  <c r="L243" i="2" s="1"/>
  <c r="F243" i="2"/>
  <c r="H243" i="2"/>
  <c r="E244" i="2"/>
  <c r="L244" i="2" s="1"/>
  <c r="F244" i="2"/>
  <c r="H244" i="2" s="1"/>
  <c r="E245" i="2"/>
  <c r="L245" i="2" s="1"/>
  <c r="F245" i="2"/>
  <c r="H245" i="2" s="1"/>
  <c r="I245" i="2"/>
  <c r="J245" i="2"/>
  <c r="E246" i="2"/>
  <c r="L246" i="2" s="1"/>
  <c r="F246" i="2"/>
  <c r="H246" i="2" s="1"/>
  <c r="E247" i="2"/>
  <c r="L247" i="2"/>
  <c r="F247" i="2"/>
  <c r="H247" i="2" s="1"/>
  <c r="E248" i="2"/>
  <c r="L248" i="2"/>
  <c r="F248" i="2"/>
  <c r="H248" i="2" s="1"/>
  <c r="I248" i="2"/>
  <c r="E249" i="2"/>
  <c r="L249" i="2"/>
  <c r="F249" i="2"/>
  <c r="H249" i="2"/>
  <c r="I249" i="2"/>
  <c r="E250" i="2"/>
  <c r="L250" i="2" s="1"/>
  <c r="F250" i="2"/>
  <c r="H250" i="2" s="1"/>
  <c r="E251" i="2"/>
  <c r="L251" i="2" s="1"/>
  <c r="F251" i="2"/>
  <c r="H251" i="2"/>
  <c r="I251" i="2"/>
  <c r="E253" i="2"/>
  <c r="L253" i="2"/>
  <c r="F253" i="2"/>
  <c r="I253" i="2"/>
  <c r="E254" i="2"/>
  <c r="L254" i="2"/>
  <c r="F254" i="2"/>
  <c r="H254" i="2" s="1"/>
  <c r="I254" i="2"/>
  <c r="E255" i="2"/>
  <c r="L255" i="2"/>
  <c r="F255" i="2"/>
  <c r="H255" i="2"/>
  <c r="E257" i="2"/>
  <c r="L257" i="2"/>
  <c r="F257" i="2"/>
  <c r="H257" i="2"/>
  <c r="I257" i="2"/>
  <c r="E258" i="2"/>
  <c r="L258" i="2" s="1"/>
  <c r="F258" i="2"/>
  <c r="H258" i="2" s="1"/>
  <c r="E259" i="2"/>
  <c r="L259" i="2" s="1"/>
  <c r="E260" i="2"/>
  <c r="L260" i="2" s="1"/>
  <c r="F260" i="2"/>
  <c r="H260" i="2" s="1"/>
  <c r="I260" i="2"/>
  <c r="E261" i="2"/>
  <c r="L261" i="2" s="1"/>
  <c r="F261" i="2"/>
  <c r="H261" i="2"/>
  <c r="I261" i="2"/>
  <c r="E264" i="2"/>
  <c r="F264" i="2"/>
  <c r="H264" i="2"/>
  <c r="I264" i="2"/>
  <c r="I54" i="2" s="1"/>
  <c r="J264" i="2"/>
  <c r="K264" i="2"/>
  <c r="E266" i="2"/>
  <c r="L266" i="2" s="1"/>
  <c r="E267" i="2"/>
  <c r="L267" i="2"/>
  <c r="F267" i="2"/>
  <c r="H267" i="2" s="1"/>
  <c r="I267" i="2"/>
  <c r="J267" i="2"/>
  <c r="J56" i="2"/>
  <c r="K267" i="2"/>
  <c r="K56" i="2" s="1"/>
  <c r="E272" i="2"/>
  <c r="L272" i="2"/>
  <c r="F272" i="2"/>
  <c r="H272" i="2" s="1"/>
  <c r="I272" i="2"/>
  <c r="J272" i="2"/>
  <c r="K272" i="2"/>
  <c r="J273" i="2"/>
  <c r="K273" i="2"/>
  <c r="E278" i="2"/>
  <c r="L278" i="2"/>
  <c r="F278" i="2"/>
  <c r="H278" i="2" s="1"/>
  <c r="I278" i="2"/>
  <c r="J278" i="2"/>
  <c r="K278" i="2"/>
  <c r="E279" i="2"/>
  <c r="L279" i="2"/>
  <c r="F279" i="2"/>
  <c r="I279" i="2"/>
  <c r="J279" i="2"/>
  <c r="K279" i="2"/>
  <c r="E280" i="2"/>
  <c r="L280" i="2" s="1"/>
  <c r="F280" i="2"/>
  <c r="H280" i="2"/>
  <c r="I280" i="2"/>
  <c r="J280" i="2"/>
  <c r="K280" i="2"/>
  <c r="E282" i="2"/>
  <c r="L282" i="2" s="1"/>
  <c r="F282" i="2"/>
  <c r="H282" i="2"/>
  <c r="I282" i="2"/>
  <c r="J282" i="2"/>
  <c r="K282" i="2"/>
  <c r="E283" i="2"/>
  <c r="L283" i="2"/>
  <c r="F283" i="2"/>
  <c r="H283" i="2" s="1"/>
  <c r="I283" i="2"/>
  <c r="J283" i="2"/>
  <c r="K283" i="2"/>
  <c r="E284" i="2"/>
  <c r="L284" i="2"/>
  <c r="F284" i="2"/>
  <c r="I284" i="2"/>
  <c r="J284" i="2"/>
  <c r="K284" i="2"/>
  <c r="E285" i="2"/>
  <c r="L285" i="2" s="1"/>
  <c r="F285" i="2"/>
  <c r="H285" i="2"/>
  <c r="I285" i="2"/>
  <c r="J285" i="2"/>
  <c r="K285" i="2"/>
  <c r="E286" i="2"/>
  <c r="L286" i="2" s="1"/>
  <c r="F286" i="2"/>
  <c r="H286" i="2"/>
  <c r="I286" i="2"/>
  <c r="J286" i="2"/>
  <c r="K286" i="2"/>
  <c r="E287" i="2"/>
  <c r="L287" i="2"/>
  <c r="F287" i="2"/>
  <c r="H287" i="2" s="1"/>
  <c r="I287" i="2"/>
  <c r="J287" i="2"/>
  <c r="K287" i="2"/>
  <c r="E288" i="2"/>
  <c r="L288" i="2"/>
  <c r="F288" i="2"/>
  <c r="H288" i="2" s="1"/>
  <c r="I288" i="2"/>
  <c r="J288" i="2"/>
  <c r="K288" i="2"/>
  <c r="E289" i="2"/>
  <c r="L289" i="2" s="1"/>
  <c r="F289" i="2"/>
  <c r="H289" i="2"/>
  <c r="I289" i="2"/>
  <c r="J289" i="2"/>
  <c r="K289" i="2"/>
  <c r="E290" i="2"/>
  <c r="L290" i="2" s="1"/>
  <c r="F290" i="2"/>
  <c r="H290" i="2"/>
  <c r="I290" i="2"/>
  <c r="K290" i="2"/>
  <c r="E291" i="2"/>
  <c r="L291" i="2"/>
  <c r="F291" i="2"/>
  <c r="H291" i="2" s="1"/>
  <c r="I291" i="2"/>
  <c r="J291" i="2"/>
  <c r="K291" i="2"/>
  <c r="E295" i="2"/>
  <c r="L295" i="2"/>
  <c r="F295" i="2"/>
  <c r="H295" i="2" s="1"/>
  <c r="I295" i="2"/>
  <c r="J295" i="2"/>
  <c r="K295" i="2"/>
  <c r="E296" i="2"/>
  <c r="L296" i="2" s="1"/>
  <c r="F296" i="2"/>
  <c r="H296" i="2"/>
  <c r="I296" i="2"/>
  <c r="J296" i="2"/>
  <c r="K296" i="2"/>
  <c r="E297" i="2"/>
  <c r="F297" i="2"/>
  <c r="H297" i="2" s="1"/>
  <c r="I297" i="2"/>
  <c r="I40" i="2"/>
  <c r="I38" i="2" s="1"/>
  <c r="J297" i="2"/>
  <c r="J40" i="2" s="1"/>
  <c r="J38" i="2" s="1"/>
  <c r="K297" i="2"/>
  <c r="K40" i="2"/>
  <c r="E298" i="2"/>
  <c r="L298" i="2" s="1"/>
  <c r="F298" i="2"/>
  <c r="H298" i="2"/>
  <c r="I298" i="2"/>
  <c r="J298" i="2"/>
  <c r="K298" i="2"/>
  <c r="E300" i="2"/>
  <c r="L300" i="2" s="1"/>
  <c r="F300" i="2"/>
  <c r="H300" i="2"/>
  <c r="I300" i="2"/>
  <c r="J300" i="2"/>
  <c r="K300" i="2"/>
  <c r="E301" i="2"/>
  <c r="L301" i="2"/>
  <c r="F301" i="2"/>
  <c r="H301" i="2" s="1"/>
  <c r="I301" i="2"/>
  <c r="J301" i="2"/>
  <c r="K301" i="2"/>
  <c r="E302" i="2"/>
  <c r="L302" i="2"/>
  <c r="F302" i="2"/>
  <c r="I302" i="2"/>
  <c r="J302" i="2"/>
  <c r="K302" i="2"/>
  <c r="E303" i="2"/>
  <c r="L303" i="2" s="1"/>
  <c r="F303" i="2"/>
  <c r="H303" i="2"/>
  <c r="I303" i="2"/>
  <c r="J303" i="2"/>
  <c r="K303" i="2"/>
  <c r="E304" i="2"/>
  <c r="L304" i="2" s="1"/>
  <c r="F304" i="2"/>
  <c r="H304" i="2"/>
  <c r="I304" i="2"/>
  <c r="J304" i="2"/>
  <c r="K304" i="2"/>
  <c r="E305" i="2"/>
  <c r="L305" i="2"/>
  <c r="F305" i="2"/>
  <c r="H305" i="2" s="1"/>
  <c r="I305" i="2"/>
  <c r="J305" i="2"/>
  <c r="K305" i="2"/>
  <c r="E306" i="2"/>
  <c r="L306" i="2"/>
  <c r="F306" i="2"/>
  <c r="H306" i="2" s="1"/>
  <c r="I306" i="2"/>
  <c r="J306" i="2"/>
  <c r="K306" i="2"/>
  <c r="E307" i="2"/>
  <c r="L307" i="2" s="1"/>
  <c r="F307" i="2"/>
  <c r="H307" i="2"/>
  <c r="I307" i="2"/>
  <c r="J307" i="2"/>
  <c r="K307" i="2"/>
  <c r="E308" i="2"/>
  <c r="L308" i="2" s="1"/>
  <c r="F308" i="2"/>
  <c r="H308" i="2"/>
  <c r="I308" i="2"/>
  <c r="J308" i="2"/>
  <c r="K308" i="2"/>
  <c r="E309" i="2"/>
  <c r="L309" i="2"/>
  <c r="F309" i="2"/>
  <c r="H309" i="2" s="1"/>
  <c r="I309" i="2"/>
  <c r="J309" i="2"/>
  <c r="K309" i="2"/>
  <c r="E313" i="2"/>
  <c r="L313" i="2"/>
  <c r="F313" i="2"/>
  <c r="I313" i="2"/>
  <c r="J313" i="2"/>
  <c r="K313" i="2"/>
  <c r="E315" i="2"/>
  <c r="L315" i="2" s="1"/>
  <c r="F315" i="2"/>
  <c r="H315" i="2"/>
  <c r="I315" i="2"/>
  <c r="J315" i="2"/>
  <c r="K315" i="2"/>
  <c r="E317" i="2"/>
  <c r="L317" i="2" s="1"/>
  <c r="F317" i="2"/>
  <c r="H317" i="2"/>
  <c r="I317" i="2"/>
  <c r="J317" i="2"/>
  <c r="K317" i="2"/>
  <c r="E319" i="2"/>
  <c r="L319" i="2"/>
  <c r="F319" i="2"/>
  <c r="H319" i="2" s="1"/>
  <c r="J319" i="2"/>
  <c r="K319" i="2"/>
  <c r="O315" i="2" s="1"/>
  <c r="O319" i="2" s="1"/>
  <c r="E323" i="2"/>
  <c r="L323" i="2" s="1"/>
  <c r="F323" i="2"/>
  <c r="I323" i="2"/>
  <c r="J323" i="2"/>
  <c r="K323" i="2"/>
  <c r="E324" i="2"/>
  <c r="L324" i="2"/>
  <c r="F324" i="2"/>
  <c r="I324" i="2"/>
  <c r="J324" i="2"/>
  <c r="K324" i="2"/>
  <c r="E328" i="2"/>
  <c r="AA606" i="2" s="1"/>
  <c r="AA607" i="2" s="1"/>
  <c r="AA608" i="2" s="1"/>
  <c r="F328" i="2"/>
  <c r="I328" i="2"/>
  <c r="I607" i="2" s="1"/>
  <c r="K328" i="2"/>
  <c r="E329" i="2"/>
  <c r="F329" i="2"/>
  <c r="H329" i="2"/>
  <c r="I329" i="2"/>
  <c r="J329" i="2"/>
  <c r="K329" i="2"/>
  <c r="E330" i="2"/>
  <c r="L330" i="2"/>
  <c r="F330" i="2"/>
  <c r="H330" i="2" s="1"/>
  <c r="I330" i="2"/>
  <c r="J330" i="2"/>
  <c r="K330" i="2"/>
  <c r="E331" i="2"/>
  <c r="L331" i="2"/>
  <c r="F331" i="2"/>
  <c r="H331" i="2" s="1"/>
  <c r="I331" i="2"/>
  <c r="J331" i="2"/>
  <c r="K331" i="2"/>
  <c r="E332" i="2"/>
  <c r="L332" i="2" s="1"/>
  <c r="F332" i="2"/>
  <c r="H332" i="2"/>
  <c r="I332" i="2"/>
  <c r="J332" i="2"/>
  <c r="K332" i="2"/>
  <c r="B333" i="2"/>
  <c r="E333" i="2"/>
  <c r="L333" i="2" s="1"/>
  <c r="F333" i="2"/>
  <c r="H333" i="2"/>
  <c r="I333" i="2"/>
  <c r="J333" i="2"/>
  <c r="K333" i="2"/>
  <c r="B334" i="2"/>
  <c r="E334" i="2"/>
  <c r="L334" i="2" s="1"/>
  <c r="F334" i="2"/>
  <c r="H334" i="2"/>
  <c r="I334" i="2"/>
  <c r="J334" i="2"/>
  <c r="K334" i="2"/>
  <c r="E336" i="2"/>
  <c r="L336" i="2" s="1"/>
  <c r="I336" i="2"/>
  <c r="J336" i="2"/>
  <c r="K336" i="2"/>
  <c r="E337" i="2"/>
  <c r="L337" i="2" s="1"/>
  <c r="F337" i="2"/>
  <c r="H337" i="2"/>
  <c r="I337" i="2"/>
  <c r="J337" i="2"/>
  <c r="K337" i="2"/>
  <c r="E338" i="2"/>
  <c r="L338" i="2" s="1"/>
  <c r="F338" i="2"/>
  <c r="H338" i="2"/>
  <c r="I338" i="2"/>
  <c r="J338" i="2"/>
  <c r="K338" i="2"/>
  <c r="E339" i="2"/>
  <c r="F339" i="2"/>
  <c r="H339" i="2" s="1"/>
  <c r="I339" i="2"/>
  <c r="J339" i="2"/>
  <c r="K339" i="2"/>
  <c r="E340" i="2"/>
  <c r="L340" i="2" s="1"/>
  <c r="J340" i="2"/>
  <c r="K340" i="2"/>
  <c r="E341" i="2"/>
  <c r="L341" i="2" s="1"/>
  <c r="F341" i="2"/>
  <c r="H341" i="2"/>
  <c r="I341" i="2"/>
  <c r="J341" i="2"/>
  <c r="K341" i="2"/>
  <c r="E350" i="2"/>
  <c r="K350" i="2"/>
  <c r="E353" i="2"/>
  <c r="E357" i="2"/>
  <c r="F357" i="2"/>
  <c r="H357" i="2" s="1"/>
  <c r="I357" i="2"/>
  <c r="J357" i="2"/>
  <c r="K357" i="2"/>
  <c r="E359" i="2"/>
  <c r="F359" i="2"/>
  <c r="H359" i="2"/>
  <c r="I359" i="2"/>
  <c r="J359" i="2"/>
  <c r="K359" i="2"/>
  <c r="F361" i="2"/>
  <c r="H361" i="2" s="1"/>
  <c r="I361" i="2"/>
  <c r="K361" i="2"/>
  <c r="F363" i="2"/>
  <c r="H363" i="2" s="1"/>
  <c r="E364" i="2"/>
  <c r="F364" i="2"/>
  <c r="H364" i="2"/>
  <c r="I364" i="2"/>
  <c r="J364" i="2"/>
  <c r="K364" i="2"/>
  <c r="E365" i="2"/>
  <c r="F365" i="2"/>
  <c r="H365" i="2" s="1"/>
  <c r="I365" i="2"/>
  <c r="J365" i="2"/>
  <c r="K365" i="2"/>
  <c r="E366" i="2"/>
  <c r="F366" i="2"/>
  <c r="H366" i="2"/>
  <c r="I366" i="2"/>
  <c r="J366" i="2"/>
  <c r="K366" i="2"/>
  <c r="E367" i="2"/>
  <c r="F367" i="2"/>
  <c r="H367" i="2" s="1"/>
  <c r="I367" i="2"/>
  <c r="J367" i="2"/>
  <c r="K367" i="2"/>
  <c r="E368" i="2"/>
  <c r="F368" i="2"/>
  <c r="H368" i="2"/>
  <c r="I368" i="2"/>
  <c r="J368" i="2"/>
  <c r="K368" i="2"/>
  <c r="E369" i="2"/>
  <c r="F369" i="2"/>
  <c r="H369" i="2" s="1"/>
  <c r="K369" i="2"/>
  <c r="E370" i="2"/>
  <c r="F370" i="2"/>
  <c r="H370" i="2" s="1"/>
  <c r="I370" i="2"/>
  <c r="J370" i="2"/>
  <c r="K370" i="2"/>
  <c r="E371" i="2"/>
  <c r="F371" i="2"/>
  <c r="H371" i="2"/>
  <c r="I371" i="2"/>
  <c r="J371" i="2"/>
  <c r="K371" i="2"/>
  <c r="I378" i="2"/>
  <c r="J378" i="2"/>
  <c r="E379" i="2"/>
  <c r="F379" i="2"/>
  <c r="H379" i="2"/>
  <c r="I379" i="2"/>
  <c r="J379" i="2"/>
  <c r="E380" i="2"/>
  <c r="F380" i="2"/>
  <c r="H380" i="2" s="1"/>
  <c r="K380" i="2"/>
  <c r="F381" i="2"/>
  <c r="H381" i="2"/>
  <c r="J381" i="2"/>
  <c r="K381" i="2"/>
  <c r="I382" i="2"/>
  <c r="J382" i="2"/>
  <c r="K382" i="2"/>
  <c r="F383" i="2"/>
  <c r="H383" i="2"/>
  <c r="I383" i="2"/>
  <c r="J383" i="2"/>
  <c r="F385" i="2"/>
  <c r="H385" i="2"/>
  <c r="I385" i="2"/>
  <c r="J385" i="2"/>
  <c r="E386" i="2"/>
  <c r="I386" i="2"/>
  <c r="J386" i="2"/>
  <c r="K386" i="2"/>
  <c r="I387" i="2"/>
  <c r="J387" i="2"/>
  <c r="K387" i="2"/>
  <c r="I388" i="2"/>
  <c r="J388" i="2"/>
  <c r="K388" i="2"/>
  <c r="E389" i="2"/>
  <c r="I389" i="2"/>
  <c r="J389" i="2"/>
  <c r="K389" i="2"/>
  <c r="E390" i="2"/>
  <c r="F390" i="2"/>
  <c r="H390" i="2"/>
  <c r="I390" i="2"/>
  <c r="J390" i="2"/>
  <c r="K390" i="2"/>
  <c r="E391" i="2"/>
  <c r="I391" i="2"/>
  <c r="K391" i="2"/>
  <c r="I392" i="2"/>
  <c r="J392" i="2"/>
  <c r="K392" i="2"/>
  <c r="E393" i="2"/>
  <c r="I393" i="2"/>
  <c r="K393" i="2"/>
  <c r="E394" i="2"/>
  <c r="F394" i="2"/>
  <c r="H394" i="2" s="1"/>
  <c r="I394" i="2"/>
  <c r="K394" i="2"/>
  <c r="I395" i="2"/>
  <c r="J395" i="2"/>
  <c r="K395" i="2"/>
  <c r="I396" i="2"/>
  <c r="K396" i="2"/>
  <c r="E397" i="2"/>
  <c r="I397" i="2"/>
  <c r="J397" i="2"/>
  <c r="K397" i="2"/>
  <c r="E398" i="2"/>
  <c r="F398" i="2"/>
  <c r="H398" i="2"/>
  <c r="I398" i="2"/>
  <c r="J398" i="2"/>
  <c r="K398" i="2"/>
  <c r="I399" i="2"/>
  <c r="K399" i="2"/>
  <c r="K400" i="2"/>
  <c r="E401" i="2"/>
  <c r="I401" i="2"/>
  <c r="K401" i="2"/>
  <c r="E402" i="2"/>
  <c r="F402" i="2"/>
  <c r="H402" i="2"/>
  <c r="I402" i="2"/>
  <c r="K402" i="2"/>
  <c r="F403" i="2"/>
  <c r="H403" i="2"/>
  <c r="K403" i="2"/>
  <c r="I407" i="2"/>
  <c r="F408" i="2"/>
  <c r="I408" i="2"/>
  <c r="F409" i="2"/>
  <c r="H409" i="2" s="1"/>
  <c r="I409" i="2"/>
  <c r="J409" i="2"/>
  <c r="E410" i="2"/>
  <c r="F410" i="2"/>
  <c r="H410" i="2"/>
  <c r="I410" i="2"/>
  <c r="J410" i="2"/>
  <c r="E411" i="2"/>
  <c r="F411" i="2"/>
  <c r="H411" i="2"/>
  <c r="I411" i="2"/>
  <c r="F412" i="2"/>
  <c r="H412" i="2"/>
  <c r="I412" i="2"/>
  <c r="J412" i="2"/>
  <c r="E413" i="2"/>
  <c r="K413" i="2"/>
  <c r="E414" i="2"/>
  <c r="K414" i="2"/>
  <c r="E415" i="2"/>
  <c r="K415" i="2"/>
  <c r="F416" i="2"/>
  <c r="H416" i="2" s="1"/>
  <c r="I416" i="2"/>
  <c r="K416" i="2"/>
  <c r="E417" i="2"/>
  <c r="I417" i="2"/>
  <c r="E418" i="2"/>
  <c r="I418" i="2"/>
  <c r="J418" i="2"/>
  <c r="K418" i="2"/>
  <c r="E419" i="2"/>
  <c r="J419" i="2"/>
  <c r="F421" i="2"/>
  <c r="H421" i="2" s="1"/>
  <c r="I421" i="2"/>
  <c r="F422" i="2"/>
  <c r="H422" i="2" s="1"/>
  <c r="I422" i="2"/>
  <c r="J422" i="2"/>
  <c r="F423" i="2"/>
  <c r="H423" i="2" s="1"/>
  <c r="I423" i="2"/>
  <c r="J423" i="2"/>
  <c r="E424" i="2"/>
  <c r="F424" i="2"/>
  <c r="H424" i="2" s="1"/>
  <c r="J424" i="2"/>
  <c r="K424" i="2"/>
  <c r="E425" i="2"/>
  <c r="F425" i="2"/>
  <c r="H425" i="2"/>
  <c r="I425" i="2"/>
  <c r="J425" i="2"/>
  <c r="F426" i="2"/>
  <c r="H426" i="2"/>
  <c r="I426" i="2"/>
  <c r="J426" i="2"/>
  <c r="F427" i="2"/>
  <c r="H427" i="2"/>
  <c r="F428" i="2"/>
  <c r="H428" i="2"/>
  <c r="I428" i="2"/>
  <c r="J428" i="2"/>
  <c r="K428" i="2"/>
  <c r="E429" i="2"/>
  <c r="F429" i="2"/>
  <c r="H429" i="2" s="1"/>
  <c r="I429" i="2"/>
  <c r="J429" i="2"/>
  <c r="I430" i="2"/>
  <c r="K430" i="2"/>
  <c r="I431" i="2"/>
  <c r="J431" i="2"/>
  <c r="K431" i="2"/>
  <c r="E432" i="2"/>
  <c r="F432" i="2"/>
  <c r="H432" i="2"/>
  <c r="I432" i="2"/>
  <c r="J432" i="2"/>
  <c r="K432" i="2"/>
  <c r="E433" i="2"/>
  <c r="J433" i="2"/>
  <c r="K433" i="2"/>
  <c r="E434" i="2"/>
  <c r="F434" i="2"/>
  <c r="H434" i="2" s="1"/>
  <c r="I434" i="2"/>
  <c r="J434" i="2"/>
  <c r="K434" i="2"/>
  <c r="I436" i="2"/>
  <c r="J436" i="2"/>
  <c r="E439" i="2"/>
  <c r="F439" i="2"/>
  <c r="H439" i="2" s="1"/>
  <c r="I439" i="2"/>
  <c r="J439" i="2"/>
  <c r="K439" i="2"/>
  <c r="E440" i="2"/>
  <c r="I440" i="2"/>
  <c r="J440" i="2"/>
  <c r="K440" i="2"/>
  <c r="E441" i="2"/>
  <c r="I441" i="2"/>
  <c r="J441" i="2"/>
  <c r="K441" i="2"/>
  <c r="I442" i="2"/>
  <c r="J442" i="2"/>
  <c r="K442" i="2"/>
  <c r="E443" i="2"/>
  <c r="F443" i="2"/>
  <c r="H443" i="2"/>
  <c r="I443" i="2"/>
  <c r="K443" i="2"/>
  <c r="E444" i="2"/>
  <c r="K444" i="2"/>
  <c r="I445" i="2"/>
  <c r="K445" i="2"/>
  <c r="I446" i="2"/>
  <c r="K446" i="2"/>
  <c r="E447" i="2"/>
  <c r="F447" i="2"/>
  <c r="H447" i="2"/>
  <c r="I447" i="2"/>
  <c r="K447" i="2"/>
  <c r="E448" i="2"/>
  <c r="I448" i="2"/>
  <c r="K448" i="2"/>
  <c r="F451" i="2"/>
  <c r="H451" i="2" s="1"/>
  <c r="J451" i="2"/>
  <c r="K451" i="2"/>
  <c r="E452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H482" i="2"/>
  <c r="F484" i="2"/>
  <c r="H484" i="2"/>
  <c r="K484" i="2"/>
  <c r="F494" i="2"/>
  <c r="H494" i="2"/>
  <c r="E495" i="2"/>
  <c r="F495" i="2"/>
  <c r="H495" i="2" s="1"/>
  <c r="I495" i="2"/>
  <c r="F496" i="2"/>
  <c r="F497" i="2"/>
  <c r="H497" i="2" s="1"/>
  <c r="F498" i="2"/>
  <c r="H498" i="2"/>
  <c r="E499" i="2"/>
  <c r="F499" i="2"/>
  <c r="H499" i="2"/>
  <c r="F500" i="2"/>
  <c r="H500" i="2" s="1"/>
  <c r="E503" i="2"/>
  <c r="I503" i="2"/>
  <c r="F504" i="2"/>
  <c r="H504" i="2" s="1"/>
  <c r="E506" i="2"/>
  <c r="E507" i="2"/>
  <c r="E508" i="2"/>
  <c r="E509" i="2"/>
  <c r="F509" i="2"/>
  <c r="H509" i="2"/>
  <c r="E512" i="2"/>
  <c r="F512" i="2"/>
  <c r="H512" i="2"/>
  <c r="E513" i="2"/>
  <c r="E515" i="2"/>
  <c r="F515" i="2"/>
  <c r="H515" i="2"/>
  <c r="I515" i="2"/>
  <c r="E517" i="2"/>
  <c r="F519" i="2"/>
  <c r="H519" i="2"/>
  <c r="I519" i="2"/>
  <c r="E522" i="2"/>
  <c r="F522" i="2"/>
  <c r="H522" i="2"/>
  <c r="I522" i="2"/>
  <c r="J522" i="2"/>
  <c r="K522" i="2"/>
  <c r="E523" i="2"/>
  <c r="F523" i="2"/>
  <c r="H523" i="2" s="1"/>
  <c r="I523" i="2"/>
  <c r="J523" i="2"/>
  <c r="K523" i="2"/>
  <c r="I530" i="2"/>
  <c r="E531" i="2"/>
  <c r="I531" i="2"/>
  <c r="J531" i="2"/>
  <c r="E536" i="2"/>
  <c r="F536" i="2"/>
  <c r="H536" i="2" s="1"/>
  <c r="I536" i="2"/>
  <c r="J536" i="2"/>
  <c r="K536" i="2"/>
  <c r="E537" i="2"/>
  <c r="J537" i="2"/>
  <c r="K537" i="2"/>
  <c r="E538" i="2"/>
  <c r="F538" i="2"/>
  <c r="H538" i="2" s="1"/>
  <c r="I538" i="2"/>
  <c r="J538" i="2"/>
  <c r="K538" i="2"/>
  <c r="E539" i="2"/>
  <c r="J539" i="2"/>
  <c r="K539" i="2"/>
  <c r="E540" i="2"/>
  <c r="J540" i="2"/>
  <c r="K540" i="2"/>
  <c r="K541" i="2"/>
  <c r="E542" i="2"/>
  <c r="F542" i="2"/>
  <c r="H542" i="2"/>
  <c r="I542" i="2"/>
  <c r="J542" i="2"/>
  <c r="K542" i="2"/>
  <c r="E543" i="2"/>
  <c r="F543" i="2"/>
  <c r="H543" i="2" s="1"/>
  <c r="I543" i="2"/>
  <c r="J543" i="2"/>
  <c r="K543" i="2"/>
  <c r="E544" i="2"/>
  <c r="F544" i="2"/>
  <c r="H544" i="2"/>
  <c r="I544" i="2"/>
  <c r="J544" i="2"/>
  <c r="K544" i="2"/>
  <c r="E545" i="2"/>
  <c r="F545" i="2"/>
  <c r="H545" i="2" s="1"/>
  <c r="I545" i="2"/>
  <c r="J545" i="2"/>
  <c r="K545" i="2"/>
  <c r="E546" i="2"/>
  <c r="F546" i="2"/>
  <c r="H546" i="2"/>
  <c r="I546" i="2"/>
  <c r="J546" i="2"/>
  <c r="K546" i="2"/>
  <c r="E547" i="2"/>
  <c r="F547" i="2"/>
  <c r="H547" i="2" s="1"/>
  <c r="I547" i="2"/>
  <c r="J547" i="2"/>
  <c r="K547" i="2"/>
  <c r="E548" i="2"/>
  <c r="F548" i="2"/>
  <c r="H548" i="2"/>
  <c r="I548" i="2"/>
  <c r="J548" i="2"/>
  <c r="K548" i="2"/>
  <c r="E549" i="2"/>
  <c r="F549" i="2"/>
  <c r="H549" i="2" s="1"/>
  <c r="I549" i="2"/>
  <c r="J549" i="2"/>
  <c r="K549" i="2"/>
  <c r="I550" i="2"/>
  <c r="K550" i="2"/>
  <c r="E551" i="2"/>
  <c r="F551" i="2"/>
  <c r="H551" i="2" s="1"/>
  <c r="I551" i="2"/>
  <c r="J551" i="2"/>
  <c r="K551" i="2"/>
  <c r="E555" i="2"/>
  <c r="F555" i="2"/>
  <c r="H555" i="2"/>
  <c r="I555" i="2"/>
  <c r="J555" i="2"/>
  <c r="K555" i="2"/>
  <c r="E556" i="2"/>
  <c r="F556" i="2"/>
  <c r="H556" i="2" s="1"/>
  <c r="I556" i="2"/>
  <c r="J556" i="2"/>
  <c r="K556" i="2"/>
  <c r="E557" i="2"/>
  <c r="I557" i="2"/>
  <c r="K557" i="2"/>
  <c r="I558" i="2"/>
  <c r="J558" i="2"/>
  <c r="E559" i="2"/>
  <c r="I559" i="2"/>
  <c r="J559" i="2"/>
  <c r="K559" i="2"/>
  <c r="E560" i="2"/>
  <c r="J560" i="2"/>
  <c r="F562" i="2"/>
  <c r="H562" i="2" s="1"/>
  <c r="I562" i="2"/>
  <c r="J562" i="2"/>
  <c r="K562" i="2"/>
  <c r="E563" i="2"/>
  <c r="F563" i="2"/>
  <c r="H563" i="2"/>
  <c r="I563" i="2"/>
  <c r="K563" i="2"/>
  <c r="E564" i="2"/>
  <c r="F564" i="2"/>
  <c r="H564" i="2"/>
  <c r="I564" i="2"/>
  <c r="K564" i="2"/>
  <c r="E565" i="2"/>
  <c r="F565" i="2"/>
  <c r="H565" i="2" s="1"/>
  <c r="I565" i="2"/>
  <c r="K565" i="2"/>
  <c r="F566" i="2"/>
  <c r="H566" i="2" s="1"/>
  <c r="I566" i="2"/>
  <c r="J566" i="2"/>
  <c r="K566" i="2"/>
  <c r="E567" i="2"/>
  <c r="F567" i="2"/>
  <c r="H567" i="2"/>
  <c r="I567" i="2"/>
  <c r="K567" i="2"/>
  <c r="E568" i="2"/>
  <c r="F568" i="2"/>
  <c r="H568" i="2"/>
  <c r="I568" i="2"/>
  <c r="K568" i="2"/>
  <c r="E569" i="2"/>
  <c r="F569" i="2"/>
  <c r="I569" i="2"/>
  <c r="K569" i="2"/>
  <c r="E570" i="2"/>
  <c r="F570" i="2"/>
  <c r="H570" i="2" s="1"/>
  <c r="I570" i="2"/>
  <c r="J570" i="2"/>
  <c r="K570" i="2"/>
  <c r="E571" i="2"/>
  <c r="F571" i="2"/>
  <c r="H571" i="2"/>
  <c r="I571" i="2"/>
  <c r="K571" i="2"/>
  <c r="F575" i="2"/>
  <c r="H575" i="2" s="1"/>
  <c r="K575" i="2"/>
  <c r="E577" i="2"/>
  <c r="F577" i="2"/>
  <c r="H577" i="2" s="1"/>
  <c r="I577" i="2"/>
  <c r="K577" i="2"/>
  <c r="E579" i="2"/>
  <c r="J579" i="2"/>
  <c r="K579" i="2"/>
  <c r="K581" i="2"/>
  <c r="F583" i="2"/>
  <c r="H583" i="2" s="1"/>
  <c r="K583" i="2"/>
  <c r="E585" i="2"/>
  <c r="F585" i="2"/>
  <c r="H585" i="2" s="1"/>
  <c r="J585" i="2"/>
  <c r="K585" i="2"/>
  <c r="F586" i="2"/>
  <c r="H586" i="2"/>
  <c r="J586" i="2"/>
  <c r="K586" i="2"/>
  <c r="C616" i="2"/>
  <c r="C617" i="2"/>
  <c r="C618" i="2"/>
  <c r="C619" i="2"/>
  <c r="L11" i="3"/>
  <c r="M11" i="3"/>
  <c r="N11" i="3"/>
  <c r="O11" i="3"/>
  <c r="P11" i="3"/>
  <c r="Q11" i="3"/>
  <c r="R11" i="3"/>
  <c r="S11" i="3"/>
  <c r="T11" i="3"/>
  <c r="L12" i="3"/>
  <c r="M12" i="3"/>
  <c r="N12" i="3"/>
  <c r="O12" i="3"/>
  <c r="P12" i="3"/>
  <c r="Q12" i="3"/>
  <c r="R12" i="3"/>
  <c r="S12" i="3"/>
  <c r="T12" i="3"/>
  <c r="Y13" i="3"/>
  <c r="Z13" i="3"/>
  <c r="AA13" i="3"/>
  <c r="U14" i="3"/>
  <c r="S14" i="3"/>
  <c r="V14" i="3"/>
  <c r="M111" i="9" s="1"/>
  <c r="T14" i="3"/>
  <c r="W14" i="3" s="1"/>
  <c r="X14" i="3"/>
  <c r="X13" i="3"/>
  <c r="X10" i="3" s="1"/>
  <c r="X9" i="3" s="1"/>
  <c r="S15" i="3"/>
  <c r="V15" i="3"/>
  <c r="M112" i="9" s="1"/>
  <c r="T15" i="3"/>
  <c r="W15" i="3" s="1"/>
  <c r="X15" i="3"/>
  <c r="S17" i="3"/>
  <c r="V17" i="3" s="1"/>
  <c r="M40" i="9" s="1"/>
  <c r="T17" i="3"/>
  <c r="W17" i="3"/>
  <c r="U17" i="3"/>
  <c r="U16" i="3" s="1"/>
  <c r="X17" i="3"/>
  <c r="X16" i="3" s="1"/>
  <c r="T18" i="3"/>
  <c r="W18" i="3"/>
  <c r="X18" i="3"/>
  <c r="X19" i="3"/>
  <c r="X20" i="3"/>
  <c r="Y20" i="3"/>
  <c r="Z20" i="3"/>
  <c r="AA20" i="3"/>
  <c r="D21" i="3"/>
  <c r="E21" i="3"/>
  <c r="G21" i="3"/>
  <c r="H21" i="3"/>
  <c r="M21" i="3"/>
  <c r="N21" i="3"/>
  <c r="P21" i="3"/>
  <c r="Q21" i="3"/>
  <c r="X21" i="3"/>
  <c r="R22" i="3"/>
  <c r="R20" i="3" s="1"/>
  <c r="R19" i="3" s="1"/>
  <c r="S22" i="3"/>
  <c r="T22" i="3"/>
  <c r="D23" i="3"/>
  <c r="D11" i="3"/>
  <c r="E23" i="3"/>
  <c r="E11" i="3" s="1"/>
  <c r="F11" i="3"/>
  <c r="G23" i="3"/>
  <c r="G11" i="3" s="1"/>
  <c r="H23" i="3"/>
  <c r="I11" i="3"/>
  <c r="J11" i="3"/>
  <c r="X23" i="3"/>
  <c r="X22" i="3" s="1"/>
  <c r="D24" i="3"/>
  <c r="D12" i="3"/>
  <c r="E24" i="3"/>
  <c r="E12" i="3" s="1"/>
  <c r="G24" i="3"/>
  <c r="G12" i="3"/>
  <c r="H24" i="3"/>
  <c r="H12" i="3" s="1"/>
  <c r="J12" i="3"/>
  <c r="K12" i="3"/>
  <c r="X24" i="3"/>
  <c r="X12" i="3" s="1"/>
  <c r="D25" i="3"/>
  <c r="V25" i="3"/>
  <c r="M104" i="9" s="1"/>
  <c r="E25" i="3"/>
  <c r="X25" i="3"/>
  <c r="U26" i="3"/>
  <c r="L44" i="9" s="1"/>
  <c r="G26" i="3"/>
  <c r="V26" i="3"/>
  <c r="M44" i="9"/>
  <c r="H26" i="3"/>
  <c r="W26" i="3" s="1"/>
  <c r="X26" i="3"/>
  <c r="U27" i="3"/>
  <c r="L109" i="9" s="1"/>
  <c r="L108" i="9" s="1"/>
  <c r="H27" i="3"/>
  <c r="W27" i="3"/>
  <c r="X27" i="3"/>
  <c r="D28" i="3"/>
  <c r="E28" i="3"/>
  <c r="H28" i="3"/>
  <c r="M28" i="3"/>
  <c r="N28" i="3"/>
  <c r="P28" i="3"/>
  <c r="Q28" i="3"/>
  <c r="X28" i="3"/>
  <c r="U29" i="3"/>
  <c r="L105" i="9" s="1"/>
  <c r="G29" i="3"/>
  <c r="V29" i="3"/>
  <c r="M105" i="9" s="1"/>
  <c r="H29" i="3"/>
  <c r="W29" i="3"/>
  <c r="X29" i="3"/>
  <c r="G30" i="3"/>
  <c r="H30" i="3"/>
  <c r="P30" i="3"/>
  <c r="Q30" i="3"/>
  <c r="X30" i="3"/>
  <c r="G31" i="3"/>
  <c r="V31" i="3"/>
  <c r="M102" i="9"/>
  <c r="H31" i="3"/>
  <c r="R31" i="3"/>
  <c r="U31" i="3"/>
  <c r="L102" i="9"/>
  <c r="N102" i="9" s="1"/>
  <c r="S31" i="3"/>
  <c r="T31" i="3"/>
  <c r="X31" i="3"/>
  <c r="F32" i="3"/>
  <c r="G32" i="3"/>
  <c r="V32" i="3"/>
  <c r="H32" i="3"/>
  <c r="W32" i="3" s="1"/>
  <c r="X32" i="3"/>
  <c r="X33" i="3"/>
  <c r="U34" i="3"/>
  <c r="L46" i="9" s="1"/>
  <c r="J34" i="3"/>
  <c r="V34" i="3"/>
  <c r="M46" i="9"/>
  <c r="K34" i="3"/>
  <c r="W34" i="3" s="1"/>
  <c r="X34" i="3"/>
  <c r="D35" i="3"/>
  <c r="E35" i="3"/>
  <c r="G35" i="3"/>
  <c r="H35" i="3"/>
  <c r="I35" i="3"/>
  <c r="J35" i="3"/>
  <c r="K35" i="3"/>
  <c r="L35" i="3"/>
  <c r="M35" i="3"/>
  <c r="N35" i="3"/>
  <c r="O35" i="3"/>
  <c r="O20" i="3"/>
  <c r="P35" i="3"/>
  <c r="Q35" i="3"/>
  <c r="X35" i="3"/>
  <c r="R36" i="3"/>
  <c r="S36" i="3"/>
  <c r="T36" i="3"/>
  <c r="C37" i="3"/>
  <c r="U37" i="3"/>
  <c r="D37" i="3"/>
  <c r="V37" i="3" s="1"/>
  <c r="E37" i="3"/>
  <c r="W37" i="3"/>
  <c r="X37" i="3"/>
  <c r="X36" i="3" s="1"/>
  <c r="I38" i="3"/>
  <c r="U38" i="3"/>
  <c r="J38" i="3"/>
  <c r="V38" i="3" s="1"/>
  <c r="K38" i="3"/>
  <c r="W38" i="3"/>
  <c r="X38" i="3"/>
  <c r="I39" i="3"/>
  <c r="U39" i="3" s="1"/>
  <c r="J39" i="3"/>
  <c r="V39" i="3"/>
  <c r="K39" i="3"/>
  <c r="W39" i="3" s="1"/>
  <c r="X39" i="3"/>
  <c r="C40" i="3"/>
  <c r="U40" i="3" s="1"/>
  <c r="D40" i="3"/>
  <c r="V40" i="3"/>
  <c r="E40" i="3"/>
  <c r="W40" i="3" s="1"/>
  <c r="X40" i="3"/>
  <c r="I41" i="3"/>
  <c r="U41" i="3"/>
  <c r="J41" i="3"/>
  <c r="V41" i="3" s="1"/>
  <c r="K41" i="3"/>
  <c r="W41" i="3"/>
  <c r="X41" i="3"/>
  <c r="C42" i="3"/>
  <c r="D42" i="3"/>
  <c r="E42" i="3"/>
  <c r="F42" i="3"/>
  <c r="G42" i="3"/>
  <c r="H42" i="3"/>
  <c r="X42" i="3"/>
  <c r="D43" i="3"/>
  <c r="E43" i="3"/>
  <c r="M43" i="3"/>
  <c r="X43" i="3"/>
  <c r="D44" i="3"/>
  <c r="E44" i="3"/>
  <c r="I44" i="3"/>
  <c r="J44" i="3"/>
  <c r="K44" i="3"/>
  <c r="X44" i="3"/>
  <c r="G45" i="3"/>
  <c r="V45" i="3" s="1"/>
  <c r="H45" i="3"/>
  <c r="M45" i="3"/>
  <c r="N45" i="3"/>
  <c r="O45" i="3"/>
  <c r="P45" i="3"/>
  <c r="P36" i="3" s="1"/>
  <c r="P19" i="3" s="1"/>
  <c r="Q45" i="3"/>
  <c r="Q36" i="3"/>
  <c r="X45" i="3"/>
  <c r="U46" i="3"/>
  <c r="L95" i="9"/>
  <c r="G46" i="3"/>
  <c r="V46" i="3" s="1"/>
  <c r="M95" i="9" s="1"/>
  <c r="N95" i="9" s="1"/>
  <c r="H46" i="3"/>
  <c r="W46" i="3"/>
  <c r="X46" i="3"/>
  <c r="G47" i="3"/>
  <c r="H47" i="3"/>
  <c r="I47" i="3"/>
  <c r="J47" i="3"/>
  <c r="K47" i="3"/>
  <c r="X47" i="3"/>
  <c r="D49" i="3"/>
  <c r="E49" i="3"/>
  <c r="F49" i="3"/>
  <c r="G49" i="3"/>
  <c r="H49" i="3"/>
  <c r="L49" i="3"/>
  <c r="M49" i="3"/>
  <c r="V49" i="3" s="1"/>
  <c r="M98" i="9" s="1"/>
  <c r="N49" i="3"/>
  <c r="X49" i="3"/>
  <c r="X50" i="3"/>
  <c r="I50" i="3"/>
  <c r="J51" i="3"/>
  <c r="K51" i="3"/>
  <c r="W51" i="3"/>
  <c r="X51" i="3"/>
  <c r="U52" i="3"/>
  <c r="V52" i="3"/>
  <c r="W52" i="3"/>
  <c r="X52" i="3"/>
  <c r="U53" i="3"/>
  <c r="V53" i="3"/>
  <c r="W53" i="3"/>
  <c r="X53" i="3"/>
  <c r="X54" i="3"/>
  <c r="X55" i="3"/>
  <c r="X57" i="3"/>
  <c r="W58" i="3"/>
  <c r="X58" i="3"/>
  <c r="X59" i="3"/>
  <c r="X60" i="3"/>
  <c r="U61" i="3"/>
  <c r="V61" i="3"/>
  <c r="W61" i="3"/>
  <c r="X61" i="3"/>
  <c r="U62" i="3"/>
  <c r="V62" i="3"/>
  <c r="W62" i="3"/>
  <c r="X62" i="3"/>
  <c r="V63" i="3"/>
  <c r="W63" i="3"/>
  <c r="X63" i="3"/>
  <c r="X64" i="3"/>
  <c r="U64" i="3"/>
  <c r="V65" i="3"/>
  <c r="V64" i="3" s="1"/>
  <c r="W65" i="3"/>
  <c r="W64" i="3"/>
  <c r="X65" i="3"/>
  <c r="X66" i="3"/>
  <c r="X67" i="3"/>
  <c r="I11" i="4"/>
  <c r="I13" i="4"/>
  <c r="D14" i="4" s="1"/>
  <c r="I35" i="4"/>
  <c r="I37" i="4"/>
  <c r="D38" i="4"/>
  <c r="I38" i="4"/>
  <c r="D39" i="4" s="1"/>
  <c r="I39" i="4" s="1"/>
  <c r="D40" i="4" s="1"/>
  <c r="I40" i="4"/>
  <c r="I10" i="5"/>
  <c r="I11" i="5"/>
  <c r="I20" i="4"/>
  <c r="I28" i="4" s="1"/>
  <c r="D12" i="5"/>
  <c r="D60" i="5"/>
  <c r="D21" i="4"/>
  <c r="D29" i="4" s="1"/>
  <c r="D45" i="4" s="1"/>
  <c r="F12" i="5"/>
  <c r="I12" i="5"/>
  <c r="I18" i="5"/>
  <c r="I19" i="5"/>
  <c r="I59" i="5" s="1"/>
  <c r="I20" i="5"/>
  <c r="I26" i="5"/>
  <c r="I28" i="5"/>
  <c r="I34" i="5"/>
  <c r="I36" i="5"/>
  <c r="D37" i="5" s="1"/>
  <c r="I37" i="5" s="1"/>
  <c r="D38" i="5"/>
  <c r="I38" i="5" s="1"/>
  <c r="D39" i="5" s="1"/>
  <c r="I39" i="5" s="1"/>
  <c r="I42" i="5"/>
  <c r="I44" i="5"/>
  <c r="D45" i="5" s="1"/>
  <c r="I45" i="5" s="1"/>
  <c r="D46" i="5"/>
  <c r="I46" i="5" s="1"/>
  <c r="D47" i="5" s="1"/>
  <c r="I47" i="5" s="1"/>
  <c r="I50" i="5"/>
  <c r="I58" i="5" s="1"/>
  <c r="I19" i="4" s="1"/>
  <c r="I52" i="5"/>
  <c r="I53" i="5"/>
  <c r="I54" i="5"/>
  <c r="I55" i="5"/>
  <c r="D58" i="5"/>
  <c r="D19" i="4" s="1"/>
  <c r="D27" i="4" s="1"/>
  <c r="D43" i="4" s="1"/>
  <c r="E58" i="5"/>
  <c r="E19" i="4" s="1"/>
  <c r="E27" i="4" s="1"/>
  <c r="E43" i="4"/>
  <c r="F58" i="5"/>
  <c r="F19" i="4" s="1"/>
  <c r="F27" i="4" s="1"/>
  <c r="F43" i="4" s="1"/>
  <c r="G58" i="5"/>
  <c r="G19" i="4" s="1"/>
  <c r="G27" i="4" s="1"/>
  <c r="G43" i="4"/>
  <c r="H58" i="5"/>
  <c r="H19" i="4" s="1"/>
  <c r="H27" i="4" s="1"/>
  <c r="H43" i="4" s="1"/>
  <c r="D59" i="5"/>
  <c r="D20" i="4" s="1"/>
  <c r="D28" i="4" s="1"/>
  <c r="E59" i="5"/>
  <c r="E20" i="4" s="1"/>
  <c r="E28" i="4" s="1"/>
  <c r="F59" i="5"/>
  <c r="F20" i="4"/>
  <c r="F28" i="4" s="1"/>
  <c r="G59" i="5"/>
  <c r="G20" i="4"/>
  <c r="G28" i="4"/>
  <c r="H59" i="5"/>
  <c r="H20" i="4" s="1"/>
  <c r="H28" i="4" s="1"/>
  <c r="E60" i="5"/>
  <c r="E21" i="4" s="1"/>
  <c r="E29" i="4" s="1"/>
  <c r="E45" i="4" s="1"/>
  <c r="F60" i="5"/>
  <c r="F21" i="4" s="1"/>
  <c r="F29" i="4" s="1"/>
  <c r="F45" i="4" s="1"/>
  <c r="G60" i="5"/>
  <c r="G21" i="4" s="1"/>
  <c r="G29" i="4" s="1"/>
  <c r="G45" i="4" s="1"/>
  <c r="H60" i="5"/>
  <c r="H21" i="4" s="1"/>
  <c r="H29" i="4" s="1"/>
  <c r="H45" i="4" s="1"/>
  <c r="E61" i="5"/>
  <c r="E22" i="4" s="1"/>
  <c r="E30" i="4" s="1"/>
  <c r="E46" i="4" s="1"/>
  <c r="F61" i="5"/>
  <c r="F22" i="4" s="1"/>
  <c r="F30" i="4" s="1"/>
  <c r="F46" i="4" s="1"/>
  <c r="G61" i="5"/>
  <c r="G22" i="4" s="1"/>
  <c r="G30" i="4" s="1"/>
  <c r="G46" i="4" s="1"/>
  <c r="H61" i="5"/>
  <c r="H22" i="4" s="1"/>
  <c r="H30" i="4" s="1"/>
  <c r="H46" i="4" s="1"/>
  <c r="E62" i="5"/>
  <c r="E23" i="4" s="1"/>
  <c r="E31" i="4" s="1"/>
  <c r="E47" i="4" s="1"/>
  <c r="F62" i="5"/>
  <c r="F23" i="4" s="1"/>
  <c r="F31" i="4" s="1"/>
  <c r="F47" i="4" s="1"/>
  <c r="G62" i="5"/>
  <c r="G23" i="4" s="1"/>
  <c r="G31" i="4" s="1"/>
  <c r="G47" i="4" s="1"/>
  <c r="H62" i="5"/>
  <c r="H23" i="4" s="1"/>
  <c r="H31" i="4" s="1"/>
  <c r="H47" i="4" s="1"/>
  <c r="E63" i="5"/>
  <c r="E24" i="4" s="1"/>
  <c r="E32" i="4" s="1"/>
  <c r="E48" i="4" s="1"/>
  <c r="F63" i="5"/>
  <c r="F24" i="4" s="1"/>
  <c r="F32" i="4" s="1"/>
  <c r="F48" i="4" s="1"/>
  <c r="G63" i="5"/>
  <c r="G24" i="4" s="1"/>
  <c r="G32" i="4" s="1"/>
  <c r="G48" i="4" s="1"/>
  <c r="H63" i="5"/>
  <c r="H24" i="4" s="1"/>
  <c r="H32" i="4" s="1"/>
  <c r="H48" i="4" s="1"/>
  <c r="G68" i="5"/>
  <c r="G69" i="5"/>
  <c r="G70" i="5"/>
  <c r="G71" i="5"/>
  <c r="G73" i="5"/>
  <c r="G74" i="5"/>
  <c r="G75" i="5"/>
  <c r="G76" i="5"/>
  <c r="D21" i="5"/>
  <c r="I21" i="5" s="1"/>
  <c r="D22" i="5" s="1"/>
  <c r="I22" i="5" s="1"/>
  <c r="D23" i="5" s="1"/>
  <c r="U15" i="3"/>
  <c r="X11" i="3"/>
  <c r="F12" i="3"/>
  <c r="U23" i="3"/>
  <c r="U11" i="3" s="1"/>
  <c r="K11" i="3"/>
  <c r="C11" i="3"/>
  <c r="H332" i="1"/>
  <c r="I332" i="1"/>
  <c r="E332" i="1"/>
  <c r="E224" i="1"/>
  <c r="H23" i="1"/>
  <c r="E282" i="1"/>
  <c r="E281" i="1" s="1"/>
  <c r="H365" i="1"/>
  <c r="I363" i="2"/>
  <c r="I369" i="2"/>
  <c r="I365" i="1"/>
  <c r="J363" i="2" s="1"/>
  <c r="J369" i="2"/>
  <c r="U25" i="3"/>
  <c r="L104" i="9" s="1"/>
  <c r="N104" i="9" s="1"/>
  <c r="H36" i="1"/>
  <c r="N95" i="1"/>
  <c r="U30" i="3"/>
  <c r="L106" i="9" s="1"/>
  <c r="I12" i="3"/>
  <c r="R16" i="3"/>
  <c r="R10" i="3" s="1"/>
  <c r="I273" i="2"/>
  <c r="E39" i="1"/>
  <c r="E30" i="1"/>
  <c r="E36" i="1"/>
  <c r="E21" i="1" s="1"/>
  <c r="U18" i="3"/>
  <c r="H39" i="1"/>
  <c r="E43" i="1"/>
  <c r="I43" i="1"/>
  <c r="H30" i="1"/>
  <c r="E363" i="2"/>
  <c r="F14" i="2"/>
  <c r="J344" i="2"/>
  <c r="I588" i="1"/>
  <c r="I602" i="1"/>
  <c r="U51" i="3"/>
  <c r="E234" i="2"/>
  <c r="L234" i="2" s="1"/>
  <c r="F100" i="2"/>
  <c r="F234" i="2"/>
  <c r="H234" i="2"/>
  <c r="F266" i="2"/>
  <c r="K554" i="2"/>
  <c r="K558" i="2"/>
  <c r="I84" i="2"/>
  <c r="F550" i="2"/>
  <c r="H550" i="2" s="1"/>
  <c r="F541" i="2"/>
  <c r="H541" i="2" s="1"/>
  <c r="F430" i="2"/>
  <c r="H430" i="2" s="1"/>
  <c r="F539" i="2"/>
  <c r="H539" i="2" s="1"/>
  <c r="F386" i="2"/>
  <c r="H386" i="2" s="1"/>
  <c r="F414" i="2"/>
  <c r="H414" i="2"/>
  <c r="H512" i="1"/>
  <c r="I507" i="2" s="1"/>
  <c r="H516" i="1"/>
  <c r="I511" i="2"/>
  <c r="H522" i="1"/>
  <c r="I517" i="2" s="1"/>
  <c r="H515" i="1"/>
  <c r="I510" i="2" s="1"/>
  <c r="H519" i="1"/>
  <c r="I256" i="2"/>
  <c r="H523" i="1"/>
  <c r="I518" i="2" s="1"/>
  <c r="J499" i="2"/>
  <c r="F518" i="2"/>
  <c r="H518" i="2"/>
  <c r="F517" i="2"/>
  <c r="H517" i="2" s="1"/>
  <c r="F511" i="2"/>
  <c r="H511" i="2"/>
  <c r="F510" i="2"/>
  <c r="H510" i="2" s="1"/>
  <c r="F507" i="2"/>
  <c r="H507" i="2"/>
  <c r="H507" i="1"/>
  <c r="I499" i="2" s="1"/>
  <c r="F256" i="2"/>
  <c r="H256" i="2"/>
  <c r="J512" i="2"/>
  <c r="J254" i="2"/>
  <c r="H514" i="1"/>
  <c r="I509" i="2"/>
  <c r="I250" i="2"/>
  <c r="J518" i="2"/>
  <c r="J260" i="2"/>
  <c r="J508" i="2"/>
  <c r="J249" i="2"/>
  <c r="J519" i="2"/>
  <c r="J261" i="2"/>
  <c r="H506" i="1"/>
  <c r="I498" i="2"/>
  <c r="I244" i="2"/>
  <c r="J495" i="2"/>
  <c r="J240" i="2"/>
  <c r="H500" i="1"/>
  <c r="I504" i="2" s="1"/>
  <c r="I238" i="2"/>
  <c r="J510" i="2"/>
  <c r="J251" i="2"/>
  <c r="J515" i="2"/>
  <c r="J257" i="2"/>
  <c r="H501" i="1"/>
  <c r="I239" i="2"/>
  <c r="H521" i="1"/>
  <c r="I516" i="2" s="1"/>
  <c r="I258" i="2"/>
  <c r="J256" i="2"/>
  <c r="K517" i="2"/>
  <c r="J517" i="2"/>
  <c r="K496" i="2"/>
  <c r="K241" i="2"/>
  <c r="H508" i="1"/>
  <c r="I500" i="2" s="1"/>
  <c r="I246" i="2"/>
  <c r="J507" i="2"/>
  <c r="J248" i="2"/>
  <c r="H518" i="1"/>
  <c r="I513" i="2"/>
  <c r="I255" i="2"/>
  <c r="H511" i="1"/>
  <c r="I247" i="2"/>
  <c r="I266" i="2"/>
  <c r="K499" i="2"/>
  <c r="K245" i="2"/>
  <c r="J503" i="2"/>
  <c r="J237" i="2"/>
  <c r="H505" i="1"/>
  <c r="I243" i="2"/>
  <c r="J511" i="2"/>
  <c r="J253" i="2"/>
  <c r="K511" i="2"/>
  <c r="K253" i="2"/>
  <c r="J239" i="2"/>
  <c r="J232" i="2"/>
  <c r="K495" i="2"/>
  <c r="K240" i="2"/>
  <c r="J500" i="2"/>
  <c r="J246" i="2"/>
  <c r="K256" i="2"/>
  <c r="K510" i="2"/>
  <c r="K251" i="2"/>
  <c r="J504" i="2"/>
  <c r="J238" i="2"/>
  <c r="K519" i="2"/>
  <c r="K261" i="2"/>
  <c r="K512" i="2"/>
  <c r="K254" i="2"/>
  <c r="J243" i="2"/>
  <c r="K503" i="2"/>
  <c r="K237" i="2"/>
  <c r="J513" i="2"/>
  <c r="J255" i="2"/>
  <c r="K231" i="2"/>
  <c r="J498" i="2"/>
  <c r="J244" i="2"/>
  <c r="J509" i="2"/>
  <c r="J250" i="2"/>
  <c r="J266" i="2"/>
  <c r="J55" i="2"/>
  <c r="J247" i="2"/>
  <c r="K507" i="2"/>
  <c r="K248" i="2"/>
  <c r="K514" i="2"/>
  <c r="K257" i="2"/>
  <c r="K518" i="2"/>
  <c r="K260" i="2"/>
  <c r="J516" i="2"/>
  <c r="J258" i="2"/>
  <c r="K508" i="2"/>
  <c r="K249" i="2"/>
  <c r="K516" i="2"/>
  <c r="K258" i="2"/>
  <c r="K266" i="2"/>
  <c r="K55" i="2"/>
  <c r="K247" i="2"/>
  <c r="K250" i="2"/>
  <c r="K513" i="2"/>
  <c r="K255" i="2"/>
  <c r="K500" i="2"/>
  <c r="K246" i="2"/>
  <c r="K498" i="2"/>
  <c r="K244" i="2"/>
  <c r="K243" i="2"/>
  <c r="K504" i="2"/>
  <c r="K238" i="2"/>
  <c r="K239" i="2"/>
  <c r="K232" i="2"/>
  <c r="H122" i="1"/>
  <c r="H121" i="1"/>
  <c r="U28" i="3"/>
  <c r="L93" i="9" s="1"/>
  <c r="F419" i="2"/>
  <c r="H419" i="2"/>
  <c r="F159" i="2"/>
  <c r="H159" i="2" s="1"/>
  <c r="K419" i="2"/>
  <c r="I23" i="5"/>
  <c r="F350" i="2"/>
  <c r="H350" i="2"/>
  <c r="K76" i="2"/>
  <c r="K77" i="2"/>
  <c r="F76" i="2"/>
  <c r="H76" i="2" s="1"/>
  <c r="L95" i="1"/>
  <c r="I424" i="1"/>
  <c r="H424" i="1"/>
  <c r="I420" i="2" s="1"/>
  <c r="K606" i="2"/>
  <c r="K197" i="8"/>
  <c r="R119" i="8" s="1"/>
  <c r="F579" i="2"/>
  <c r="H579" i="2" s="1"/>
  <c r="H580" i="1"/>
  <c r="H316" i="1"/>
  <c r="H46" i="1" s="1"/>
  <c r="I319" i="2"/>
  <c r="S18" i="3"/>
  <c r="V18" i="3"/>
  <c r="M114" i="9" s="1"/>
  <c r="K54" i="2"/>
  <c r="L72" i="2"/>
  <c r="J221" i="2"/>
  <c r="E459" i="1"/>
  <c r="I61" i="2"/>
  <c r="I60" i="2" s="1"/>
  <c r="I39" i="1"/>
  <c r="I30" i="1"/>
  <c r="E481" i="1"/>
  <c r="F117" i="2"/>
  <c r="H117" i="2" s="1"/>
  <c r="V44" i="3"/>
  <c r="M61" i="9" s="1"/>
  <c r="E550" i="2"/>
  <c r="E484" i="2"/>
  <c r="F40" i="2"/>
  <c r="H40" i="2" s="1"/>
  <c r="F222" i="2"/>
  <c r="H222" i="2" s="1"/>
  <c r="J44" i="2"/>
  <c r="E560" i="1"/>
  <c r="E61" i="2"/>
  <c r="C615" i="2" s="1"/>
  <c r="I412" i="1"/>
  <c r="J408" i="2"/>
  <c r="F44" i="2"/>
  <c r="H44" i="2" s="1"/>
  <c r="J411" i="2"/>
  <c r="O36" i="3"/>
  <c r="O19" i="3"/>
  <c r="I23" i="2"/>
  <c r="K43" i="2"/>
  <c r="K42" i="2" s="1"/>
  <c r="E43" i="2"/>
  <c r="L43" i="2" s="1"/>
  <c r="F30" i="2"/>
  <c r="E24" i="2"/>
  <c r="V47" i="3"/>
  <c r="M94" i="9"/>
  <c r="H60" i="1"/>
  <c r="V58" i="3"/>
  <c r="M107" i="9"/>
  <c r="N107" i="9"/>
  <c r="J50" i="3"/>
  <c r="V51" i="3"/>
  <c r="V43" i="3"/>
  <c r="M62" i="9" s="1"/>
  <c r="V35" i="3"/>
  <c r="M45" i="9" s="1"/>
  <c r="V30" i="3"/>
  <c r="M106" i="9"/>
  <c r="N106" i="9"/>
  <c r="N40" i="9"/>
  <c r="M113" i="9"/>
  <c r="N113" i="9" s="1"/>
  <c r="M96" i="9"/>
  <c r="L101" i="9"/>
  <c r="V21" i="3"/>
  <c r="M43" i="9"/>
  <c r="M41" i="9"/>
  <c r="N41" i="9" s="1"/>
  <c r="N114" i="9"/>
  <c r="M38" i="9"/>
  <c r="N38" i="9" s="1"/>
  <c r="N111" i="9"/>
  <c r="N109" i="9"/>
  <c r="N108" i="9" s="1"/>
  <c r="N44" i="9"/>
  <c r="M39" i="9"/>
  <c r="N39" i="9" s="1"/>
  <c r="N112" i="9"/>
  <c r="H35" i="1"/>
  <c r="H34" i="1" s="1"/>
  <c r="S16" i="3"/>
  <c r="K50" i="3"/>
  <c r="U50" i="3"/>
  <c r="W50" i="3"/>
  <c r="M95" i="1"/>
  <c r="K44" i="2"/>
  <c r="K497" i="2"/>
  <c r="H459" i="1"/>
  <c r="H458" i="1"/>
  <c r="E531" i="1"/>
  <c r="E530" i="1" s="1"/>
  <c r="E526" i="2" s="1"/>
  <c r="J497" i="2"/>
  <c r="E497" i="2"/>
  <c r="E497" i="1"/>
  <c r="AG199" i="8"/>
  <c r="W44" i="3"/>
  <c r="I321" i="2"/>
  <c r="I59" i="2"/>
  <c r="N315" i="2"/>
  <c r="N319" i="2"/>
  <c r="J31" i="2"/>
  <c r="I44" i="2"/>
  <c r="I252" i="2"/>
  <c r="I161" i="2"/>
  <c r="I43" i="2"/>
  <c r="J30" i="2"/>
  <c r="J29" i="2" s="1"/>
  <c r="E8" i="3"/>
  <c r="H8" i="3" s="1"/>
  <c r="F89" i="2"/>
  <c r="H89" i="2"/>
  <c r="E55" i="2"/>
  <c r="L55" i="2" s="1"/>
  <c r="I228" i="2"/>
  <c r="I48" i="2" s="1"/>
  <c r="K58" i="2"/>
  <c r="AE606" i="2"/>
  <c r="AE607" i="2" s="1"/>
  <c r="O345" i="1"/>
  <c r="AG606" i="2"/>
  <c r="AG607" i="2"/>
  <c r="AG608" i="2" s="1"/>
  <c r="J403" i="2"/>
  <c r="L407" i="1"/>
  <c r="E233" i="2"/>
  <c r="E40" i="2"/>
  <c r="L40" i="2" s="1"/>
  <c r="L297" i="2"/>
  <c r="E54" i="2"/>
  <c r="L54" i="2"/>
  <c r="L264" i="2"/>
  <c r="L223" i="2"/>
  <c r="E39" i="2"/>
  <c r="L39" i="2" s="1"/>
  <c r="L156" i="2"/>
  <c r="E89" i="2"/>
  <c r="E87" i="2"/>
  <c r="L90" i="2"/>
  <c r="W42" i="3"/>
  <c r="E52" i="2"/>
  <c r="L52" i="2" s="1"/>
  <c r="L239" i="2"/>
  <c r="E228" i="2"/>
  <c r="L229" i="2"/>
  <c r="E32" i="2"/>
  <c r="L32" i="2" s="1"/>
  <c r="L160" i="2"/>
  <c r="E37" i="2"/>
  <c r="E36" i="2" s="1"/>
  <c r="L36" i="2" s="1"/>
  <c r="L155" i="2"/>
  <c r="E117" i="2"/>
  <c r="L117" i="2"/>
  <c r="L118" i="2"/>
  <c r="H328" i="2"/>
  <c r="F607" i="2"/>
  <c r="F607" i="1"/>
  <c r="L227" i="2"/>
  <c r="E148" i="2"/>
  <c r="L148" i="2" s="1"/>
  <c r="L153" i="2"/>
  <c r="L47" i="2"/>
  <c r="L222" i="2"/>
  <c r="L328" i="2"/>
  <c r="L225" i="2"/>
  <c r="E192" i="2"/>
  <c r="L193" i="2"/>
  <c r="E27" i="2"/>
  <c r="L27" i="2"/>
  <c r="L157" i="2"/>
  <c r="E28" i="2"/>
  <c r="L28" i="2" s="1"/>
  <c r="L120" i="2"/>
  <c r="L94" i="2"/>
  <c r="I442" i="1"/>
  <c r="I440" i="1" s="1"/>
  <c r="J437" i="2" s="1"/>
  <c r="K23" i="2"/>
  <c r="I23" i="1"/>
  <c r="F321" i="2"/>
  <c r="H321" i="2"/>
  <c r="K321" i="2"/>
  <c r="K59" i="2" s="1"/>
  <c r="O313" i="2"/>
  <c r="O293" i="2"/>
  <c r="J149" i="2"/>
  <c r="J41" i="2" s="1"/>
  <c r="K222" i="8"/>
  <c r="K299" i="2"/>
  <c r="K294" i="2"/>
  <c r="K293" i="2"/>
  <c r="L222" i="8"/>
  <c r="E299" i="2"/>
  <c r="I31" i="2"/>
  <c r="J24" i="2"/>
  <c r="J161" i="2"/>
  <c r="K123" i="2"/>
  <c r="I30" i="2"/>
  <c r="E23" i="2"/>
  <c r="L23" i="2"/>
  <c r="C621" i="2"/>
  <c r="F161" i="2"/>
  <c r="H161" i="2"/>
  <c r="K311" i="2"/>
  <c r="F228" i="2"/>
  <c r="H228" i="2"/>
  <c r="F232" i="2"/>
  <c r="H232" i="2" s="1"/>
  <c r="F271" i="2"/>
  <c r="F56" i="2"/>
  <c r="H56" i="2"/>
  <c r="F226" i="2"/>
  <c r="F218" i="2" s="1"/>
  <c r="F148" i="2"/>
  <c r="H148" i="2" s="1"/>
  <c r="K236" i="2"/>
  <c r="K235" i="2"/>
  <c r="F43" i="2"/>
  <c r="H43" i="2" s="1"/>
  <c r="F224" i="2"/>
  <c r="F192" i="2"/>
  <c r="H192" i="2"/>
  <c r="F27" i="2"/>
  <c r="H27" i="2" s="1"/>
  <c r="F28" i="2"/>
  <c r="H28" i="2"/>
  <c r="F233" i="2"/>
  <c r="F273" i="2"/>
  <c r="F54" i="2"/>
  <c r="H54" i="2" s="1"/>
  <c r="F39" i="2"/>
  <c r="H39" i="2"/>
  <c r="F52" i="2"/>
  <c r="H52" i="2" s="1"/>
  <c r="F221" i="2"/>
  <c r="H221" i="2"/>
  <c r="F32" i="2"/>
  <c r="H32" i="2" s="1"/>
  <c r="F37" i="2"/>
  <c r="H37" i="2"/>
  <c r="F51" i="2"/>
  <c r="I311" i="2"/>
  <c r="J658" i="2" s="1"/>
  <c r="J438" i="2"/>
  <c r="E35" i="1"/>
  <c r="Q20" i="3"/>
  <c r="Q19" i="3" s="1"/>
  <c r="W45" i="3"/>
  <c r="W30" i="3"/>
  <c r="C22" i="3"/>
  <c r="C20" i="3" s="1"/>
  <c r="C19" i="3" s="1"/>
  <c r="J321" i="2"/>
  <c r="J59" i="2"/>
  <c r="E311" i="2"/>
  <c r="N313" i="2"/>
  <c r="N293" i="2"/>
  <c r="E31" i="2"/>
  <c r="L31" i="2" s="1"/>
  <c r="F24" i="2"/>
  <c r="H24" i="2"/>
  <c r="J58" i="2"/>
  <c r="C622" i="2" s="1"/>
  <c r="K196" i="2"/>
  <c r="K195" i="2"/>
  <c r="E26" i="2"/>
  <c r="K149" i="2"/>
  <c r="K41" i="2"/>
  <c r="E23" i="1"/>
  <c r="E442" i="1"/>
  <c r="E438" i="2" s="1"/>
  <c r="K271" i="2"/>
  <c r="K270" i="2"/>
  <c r="K269" i="2" s="1"/>
  <c r="F236" i="2"/>
  <c r="H236" i="2" s="1"/>
  <c r="F26" i="2"/>
  <c r="H26" i="2"/>
  <c r="M36" i="3"/>
  <c r="M10" i="3" s="1"/>
  <c r="M9" i="3" s="1"/>
  <c r="G36" i="3"/>
  <c r="K36" i="3"/>
  <c r="K10" i="3" s="1"/>
  <c r="K9" i="3" s="1"/>
  <c r="U35" i="3"/>
  <c r="L45" i="9" s="1"/>
  <c r="N45" i="9" s="1"/>
  <c r="W28" i="3"/>
  <c r="P20" i="3"/>
  <c r="K481" i="2"/>
  <c r="K327" i="2"/>
  <c r="I299" i="2"/>
  <c r="I294" i="2" s="1"/>
  <c r="I293" i="2" s="1"/>
  <c r="J222" i="8"/>
  <c r="K281" i="2"/>
  <c r="K277" i="2"/>
  <c r="K276" i="2" s="1"/>
  <c r="K275" i="2" s="1"/>
  <c r="L221" i="8"/>
  <c r="E281" i="2"/>
  <c r="L281" i="2"/>
  <c r="I281" i="2"/>
  <c r="I35" i="2" s="1"/>
  <c r="E44" i="2"/>
  <c r="L44" i="2"/>
  <c r="I24" i="2"/>
  <c r="I20" i="2" s="1"/>
  <c r="I179" i="2"/>
  <c r="I178" i="2"/>
  <c r="I176" i="2"/>
  <c r="J179" i="2"/>
  <c r="J178" i="2" s="1"/>
  <c r="J176" i="2" s="1"/>
  <c r="K179" i="2"/>
  <c r="K178" i="2" s="1"/>
  <c r="K176" i="2" s="1"/>
  <c r="E179" i="2"/>
  <c r="F179" i="2"/>
  <c r="E232" i="2"/>
  <c r="L232" i="2"/>
  <c r="C12" i="3"/>
  <c r="J271" i="2"/>
  <c r="J270" i="2" s="1"/>
  <c r="F22" i="3"/>
  <c r="E196" i="2"/>
  <c r="L196" i="2" s="1"/>
  <c r="K26" i="2"/>
  <c r="K25" i="2" s="1"/>
  <c r="D22" i="3"/>
  <c r="U24" i="3"/>
  <c r="U12" i="3" s="1"/>
  <c r="N20" i="3"/>
  <c r="H33" i="3"/>
  <c r="W33" i="3" s="1"/>
  <c r="U45" i="3"/>
  <c r="L96" i="9"/>
  <c r="N96" i="9"/>
  <c r="T13" i="3"/>
  <c r="W21" i="3"/>
  <c r="V23" i="3"/>
  <c r="I271" i="2"/>
  <c r="I270" i="2" s="1"/>
  <c r="J222" i="2"/>
  <c r="T16" i="3"/>
  <c r="W60" i="3"/>
  <c r="W59" i="3" s="1"/>
  <c r="E149" i="2"/>
  <c r="I123" i="2"/>
  <c r="I116" i="2" s="1"/>
  <c r="I115" i="2" s="1"/>
  <c r="I114" i="2" s="1"/>
  <c r="I58" i="2"/>
  <c r="V60" i="3"/>
  <c r="V59" i="3"/>
  <c r="K531" i="2"/>
  <c r="I527" i="2"/>
  <c r="H273" i="1"/>
  <c r="I506" i="2"/>
  <c r="I505" i="2" s="1"/>
  <c r="H510" i="1"/>
  <c r="J506" i="2"/>
  <c r="I510" i="1"/>
  <c r="K506" i="2"/>
  <c r="E51" i="2"/>
  <c r="I502" i="2"/>
  <c r="I236" i="2"/>
  <c r="I235" i="2"/>
  <c r="K161" i="2"/>
  <c r="E161" i="2"/>
  <c r="L161" i="2" s="1"/>
  <c r="H36" i="3"/>
  <c r="H10" i="3"/>
  <c r="I35" i="1"/>
  <c r="J43" i="2"/>
  <c r="W35" i="3"/>
  <c r="K30" i="2"/>
  <c r="K29" i="2" s="1"/>
  <c r="E30" i="2"/>
  <c r="E90" i="1"/>
  <c r="K412" i="2"/>
  <c r="E412" i="2"/>
  <c r="F149" i="2"/>
  <c r="H149" i="2"/>
  <c r="H42" i="1"/>
  <c r="G22" i="3"/>
  <c r="I410" i="1"/>
  <c r="J406" i="2"/>
  <c r="I26" i="2"/>
  <c r="I25" i="2" s="1"/>
  <c r="V24" i="3"/>
  <c r="E34" i="1"/>
  <c r="F123" i="2"/>
  <c r="J123" i="2"/>
  <c r="J116" i="2"/>
  <c r="I122" i="1"/>
  <c r="I121" i="1" s="1"/>
  <c r="F384" i="2"/>
  <c r="H384" i="2"/>
  <c r="J26" i="2"/>
  <c r="J25" i="2" s="1"/>
  <c r="E22" i="3"/>
  <c r="E20" i="3"/>
  <c r="E19" i="3" s="1"/>
  <c r="E70" i="2"/>
  <c r="L70" i="2" s="1"/>
  <c r="E510" i="1"/>
  <c r="E524" i="2"/>
  <c r="E252" i="2"/>
  <c r="L252" i="2" s="1"/>
  <c r="E236" i="2"/>
  <c r="E235" i="2" s="1"/>
  <c r="L235" i="2" s="1"/>
  <c r="K349" i="2"/>
  <c r="K354" i="2"/>
  <c r="U13" i="3"/>
  <c r="R13" i="3"/>
  <c r="R9" i="3"/>
  <c r="U49" i="3"/>
  <c r="L98" i="9" s="1"/>
  <c r="N98" i="9" s="1"/>
  <c r="W49" i="3"/>
  <c r="Q10" i="3"/>
  <c r="Q9" i="3" s="1"/>
  <c r="U44" i="3"/>
  <c r="L61" i="9"/>
  <c r="N61" i="9" s="1"/>
  <c r="U42" i="3"/>
  <c r="E121" i="1"/>
  <c r="E120" i="1" s="1"/>
  <c r="F66" i="2"/>
  <c r="D36" i="3"/>
  <c r="D10" i="3" s="1"/>
  <c r="D9" i="3" s="1"/>
  <c r="W25" i="3"/>
  <c r="W24" i="3"/>
  <c r="W12" i="3" s="1"/>
  <c r="H22" i="3"/>
  <c r="H20" i="3"/>
  <c r="H19" i="3" s="1"/>
  <c r="W16" i="3"/>
  <c r="E582" i="1"/>
  <c r="E583" i="2"/>
  <c r="I153" i="1"/>
  <c r="I152" i="1" s="1"/>
  <c r="I120" i="1" s="1"/>
  <c r="K502" i="2"/>
  <c r="L20" i="3"/>
  <c r="J20" i="3"/>
  <c r="J19" i="3" s="1"/>
  <c r="F481" i="2"/>
  <c r="H481" i="2" s="1"/>
  <c r="I56" i="2"/>
  <c r="E321" i="2"/>
  <c r="U60" i="3"/>
  <c r="K20" i="3"/>
  <c r="K228" i="2"/>
  <c r="K48" i="2" s="1"/>
  <c r="K221" i="2"/>
  <c r="K219" i="2"/>
  <c r="K378" i="2"/>
  <c r="E378" i="2"/>
  <c r="K363" i="2"/>
  <c r="P28" i="1"/>
  <c r="O95" i="1"/>
  <c r="H485" i="1"/>
  <c r="H481" i="1" s="1"/>
  <c r="I484" i="2"/>
  <c r="I481" i="2"/>
  <c r="E504" i="2"/>
  <c r="E502" i="2"/>
  <c r="I252" i="1"/>
  <c r="I237" i="1"/>
  <c r="J589" i="2"/>
  <c r="J602" i="2" s="1"/>
  <c r="I55" i="2"/>
  <c r="K234" i="2"/>
  <c r="K233" i="2"/>
  <c r="K53" i="2" s="1"/>
  <c r="H252" i="1"/>
  <c r="J494" i="2"/>
  <c r="J583" i="2"/>
  <c r="F61" i="2"/>
  <c r="H488" i="2"/>
  <c r="F413" i="2"/>
  <c r="H413" i="2" s="1"/>
  <c r="F154" i="2"/>
  <c r="H154" i="2"/>
  <c r="F336" i="2"/>
  <c r="H336" i="2" s="1"/>
  <c r="I80" i="2"/>
  <c r="H44" i="1"/>
  <c r="H43" i="1"/>
  <c r="G28" i="3"/>
  <c r="V28" i="3" s="1"/>
  <c r="M93" i="9" s="1"/>
  <c r="N93" i="9" s="1"/>
  <c r="J84" i="2"/>
  <c r="I340" i="2"/>
  <c r="K72" i="2"/>
  <c r="K70" i="2"/>
  <c r="J328" i="2"/>
  <c r="H11" i="3"/>
  <c r="W23" i="3"/>
  <c r="I451" i="2"/>
  <c r="K438" i="2"/>
  <c r="I14" i="2"/>
  <c r="D8" i="3" s="1"/>
  <c r="J8" i="3" s="1"/>
  <c r="M8" i="3" s="1"/>
  <c r="P8" i="3" s="1"/>
  <c r="S8" i="3" s="1"/>
  <c r="V8" i="3" s="1"/>
  <c r="I66" i="2"/>
  <c r="H588" i="1"/>
  <c r="H602" i="1" s="1"/>
  <c r="E355" i="2"/>
  <c r="E353" i="1"/>
  <c r="E351" i="2"/>
  <c r="E352" i="2"/>
  <c r="J361" i="2"/>
  <c r="I381" i="2"/>
  <c r="E388" i="1"/>
  <c r="E385" i="2"/>
  <c r="I388" i="1"/>
  <c r="J384" i="2" s="1"/>
  <c r="J401" i="2"/>
  <c r="I400" i="2"/>
  <c r="H388" i="1"/>
  <c r="I384" i="2"/>
  <c r="K385" i="2"/>
  <c r="E412" i="1"/>
  <c r="E408" i="2" s="1"/>
  <c r="E409" i="2"/>
  <c r="K408" i="2"/>
  <c r="K409" i="2"/>
  <c r="E481" i="2"/>
  <c r="I585" i="2"/>
  <c r="H582" i="1"/>
  <c r="I583" i="2" s="1"/>
  <c r="I581" i="2"/>
  <c r="K494" i="2"/>
  <c r="J36" i="3"/>
  <c r="J10" i="3"/>
  <c r="J9" i="3" s="1"/>
  <c r="I353" i="1"/>
  <c r="I92" i="1"/>
  <c r="J92" i="2"/>
  <c r="J90" i="2"/>
  <c r="J89" i="2" s="1"/>
  <c r="F503" i="2"/>
  <c r="H503" i="2" s="1"/>
  <c r="I560" i="1"/>
  <c r="J561" i="2" s="1"/>
  <c r="E581" i="2"/>
  <c r="Q579" i="1"/>
  <c r="J577" i="2"/>
  <c r="P578" i="1"/>
  <c r="J575" i="2"/>
  <c r="C36" i="3"/>
  <c r="C10" i="3"/>
  <c r="W47" i="3"/>
  <c r="S13" i="3"/>
  <c r="S10" i="3" s="1"/>
  <c r="S9" i="3" s="1"/>
  <c r="I182" i="1"/>
  <c r="E182" i="1"/>
  <c r="H90" i="1"/>
  <c r="K24" i="2"/>
  <c r="F196" i="2"/>
  <c r="F195" i="2" s="1"/>
  <c r="E538" i="1"/>
  <c r="E535" i="2" s="1"/>
  <c r="I575" i="2"/>
  <c r="H555" i="1"/>
  <c r="I554" i="2" s="1"/>
  <c r="H353" i="1"/>
  <c r="I350" i="2"/>
  <c r="I232" i="2"/>
  <c r="J524" i="2"/>
  <c r="M20" i="3"/>
  <c r="S20" i="3"/>
  <c r="S19" i="3" s="1"/>
  <c r="E588" i="1"/>
  <c r="E602" i="1"/>
  <c r="J252" i="2"/>
  <c r="K524" i="2"/>
  <c r="E236" i="1"/>
  <c r="E52" i="1" s="1"/>
  <c r="E47" i="1" s="1"/>
  <c r="V42" i="3"/>
  <c r="K252" i="2"/>
  <c r="K38" i="2"/>
  <c r="I494" i="2"/>
  <c r="V50" i="3"/>
  <c r="V13" i="3"/>
  <c r="K493" i="2"/>
  <c r="K491" i="2" s="1"/>
  <c r="K515" i="2"/>
  <c r="E424" i="1"/>
  <c r="H153" i="1"/>
  <c r="H152" i="1"/>
  <c r="H120" i="1" s="1"/>
  <c r="K344" i="2"/>
  <c r="K589" i="2"/>
  <c r="K602" i="2"/>
  <c r="K87" i="2"/>
  <c r="J502" i="2"/>
  <c r="F36" i="3"/>
  <c r="G33" i="3"/>
  <c r="V33" i="3" s="1"/>
  <c r="E505" i="2"/>
  <c r="J23" i="2"/>
  <c r="J22" i="2" s="1"/>
  <c r="J236" i="2"/>
  <c r="J235" i="2" s="1"/>
  <c r="W31" i="3"/>
  <c r="K31" i="2"/>
  <c r="V16" i="3"/>
  <c r="K52" i="2"/>
  <c r="E36" i="3"/>
  <c r="E280" i="1"/>
  <c r="H572" i="1"/>
  <c r="K420" i="2"/>
  <c r="J420" i="2"/>
  <c r="F70" i="2"/>
  <c r="H70" i="2"/>
  <c r="K51" i="2"/>
  <c r="K116" i="2"/>
  <c r="J52" i="2"/>
  <c r="I52" i="2"/>
  <c r="K509" i="2"/>
  <c r="J514" i="2"/>
  <c r="W13" i="3"/>
  <c r="F506" i="2"/>
  <c r="F505" i="2" s="1"/>
  <c r="H505" i="2" s="1"/>
  <c r="J54" i="2"/>
  <c r="K57" i="2"/>
  <c r="T20" i="3"/>
  <c r="T19" i="3" s="1"/>
  <c r="E56" i="2"/>
  <c r="L56" i="2"/>
  <c r="J311" i="2"/>
  <c r="K658" i="2" s="1"/>
  <c r="I454" i="2"/>
  <c r="K454" i="2"/>
  <c r="F454" i="2"/>
  <c r="H454" i="2" s="1"/>
  <c r="I89" i="2"/>
  <c r="I87" i="2" s="1"/>
  <c r="I526" i="2"/>
  <c r="J454" i="2"/>
  <c r="K356" i="2"/>
  <c r="E572" i="1"/>
  <c r="E573" i="2"/>
  <c r="F656" i="2"/>
  <c r="F223" i="8" s="1"/>
  <c r="I356" i="2"/>
  <c r="H183" i="1"/>
  <c r="H182" i="1" s="1"/>
  <c r="F356" i="2"/>
  <c r="H356" i="2"/>
  <c r="F355" i="2"/>
  <c r="H355" i="2" s="1"/>
  <c r="J355" i="2"/>
  <c r="I236" i="1"/>
  <c r="E440" i="1"/>
  <c r="J42" i="2"/>
  <c r="H54" i="1"/>
  <c r="O10" i="3"/>
  <c r="O9" i="3" s="1"/>
  <c r="F57" i="2"/>
  <c r="H57" i="2"/>
  <c r="F219" i="2"/>
  <c r="H219" i="2" s="1"/>
  <c r="F58" i="2"/>
  <c r="C613" i="2" s="1"/>
  <c r="E60" i="2"/>
  <c r="L60" i="2"/>
  <c r="K8" i="3"/>
  <c r="N8" i="3" s="1"/>
  <c r="Q8" i="3" s="1"/>
  <c r="T8" i="3" s="1"/>
  <c r="W8" i="3" s="1"/>
  <c r="L61" i="2"/>
  <c r="F87" i="2"/>
  <c r="I22" i="2"/>
  <c r="N37" i="9"/>
  <c r="I16" i="11"/>
  <c r="I15" i="11" s="1"/>
  <c r="I14" i="11" s="1"/>
  <c r="I16" i="10"/>
  <c r="I15" i="10" s="1"/>
  <c r="N110" i="9"/>
  <c r="L100" i="9"/>
  <c r="D20" i="3"/>
  <c r="D19" i="3" s="1"/>
  <c r="V22" i="3"/>
  <c r="M103" i="9"/>
  <c r="N103" i="9" s="1"/>
  <c r="I42" i="2"/>
  <c r="I439" i="1"/>
  <c r="J435" i="2" s="1"/>
  <c r="J234" i="2"/>
  <c r="J233" i="2"/>
  <c r="J53" i="2"/>
  <c r="I54" i="1"/>
  <c r="I147" i="2"/>
  <c r="I146" i="2"/>
  <c r="J219" i="8"/>
  <c r="E42" i="2"/>
  <c r="L42" i="2"/>
  <c r="E38" i="2"/>
  <c r="L38" i="2" s="1"/>
  <c r="K22" i="2"/>
  <c r="K19" i="3"/>
  <c r="K530" i="2"/>
  <c r="L218" i="8"/>
  <c r="K218" i="8"/>
  <c r="J218" i="8"/>
  <c r="K221" i="8"/>
  <c r="I198" i="8"/>
  <c r="I45" i="2"/>
  <c r="K45" i="2"/>
  <c r="L658" i="2"/>
  <c r="L225" i="8" s="1"/>
  <c r="F59" i="2"/>
  <c r="H59" i="2" s="1"/>
  <c r="F38" i="2"/>
  <c r="H38" i="2" s="1"/>
  <c r="AF606" i="2"/>
  <c r="AF607" i="2" s="1"/>
  <c r="H607" i="2"/>
  <c r="AD606" i="2"/>
  <c r="AD607" i="2"/>
  <c r="L236" i="2"/>
  <c r="E195" i="2"/>
  <c r="L195" i="2" s="1"/>
  <c r="E45" i="2"/>
  <c r="L45" i="2"/>
  <c r="E294" i="2"/>
  <c r="L299" i="2"/>
  <c r="L192" i="2"/>
  <c r="E606" i="1"/>
  <c r="K345" i="1"/>
  <c r="E606" i="2"/>
  <c r="L89" i="2"/>
  <c r="E41" i="2"/>
  <c r="L41" i="2" s="1"/>
  <c r="L149" i="2"/>
  <c r="E25" i="2"/>
  <c r="L25" i="2" s="1"/>
  <c r="L26" i="2"/>
  <c r="E178" i="2"/>
  <c r="L179" i="2"/>
  <c r="L37" i="2"/>
  <c r="E48" i="2"/>
  <c r="L48" i="2" s="1"/>
  <c r="L228" i="2"/>
  <c r="U59" i="3"/>
  <c r="Q11" i="9" s="1"/>
  <c r="U22" i="3"/>
  <c r="E656" i="2"/>
  <c r="E223" i="8" s="1"/>
  <c r="J147" i="2"/>
  <c r="J146" i="2" s="1"/>
  <c r="E29" i="2"/>
  <c r="E35" i="2"/>
  <c r="L35" i="2" s="1"/>
  <c r="I29" i="2"/>
  <c r="F116" i="2"/>
  <c r="F48" i="2"/>
  <c r="H48" i="2"/>
  <c r="F42" i="2"/>
  <c r="H42" i="2" s="1"/>
  <c r="F270" i="2"/>
  <c r="K147" i="2"/>
  <c r="J505" i="2"/>
  <c r="H506" i="2"/>
  <c r="F502" i="2"/>
  <c r="H502" i="2" s="1"/>
  <c r="F23" i="2"/>
  <c r="H23" i="2" s="1"/>
  <c r="F25" i="2"/>
  <c r="H25" i="2" s="1"/>
  <c r="F36" i="2"/>
  <c r="H36" i="2"/>
  <c r="F235" i="2"/>
  <c r="H235" i="2"/>
  <c r="F60" i="2"/>
  <c r="H60" i="2" s="1"/>
  <c r="H61" i="2"/>
  <c r="F178" i="2"/>
  <c r="F41" i="2"/>
  <c r="H41" i="2" s="1"/>
  <c r="T10" i="3"/>
  <c r="T9" i="3" s="1"/>
  <c r="I277" i="2"/>
  <c r="I276" i="2" s="1"/>
  <c r="I275" i="2" s="1"/>
  <c r="J221" i="8"/>
  <c r="M19" i="3"/>
  <c r="E277" i="2"/>
  <c r="E276" i="2" s="1"/>
  <c r="K35" i="2"/>
  <c r="E537" i="1"/>
  <c r="E147" i="2"/>
  <c r="F147" i="2"/>
  <c r="H147" i="2" s="1"/>
  <c r="J34" i="2"/>
  <c r="K535" i="2"/>
  <c r="K534" i="2"/>
  <c r="K34" i="2"/>
  <c r="I20" i="3"/>
  <c r="C614" i="2"/>
  <c r="K526" i="2"/>
  <c r="K527" i="2"/>
  <c r="E509" i="1"/>
  <c r="E494" i="1" s="1"/>
  <c r="E493" i="1"/>
  <c r="E480" i="1"/>
  <c r="W22" i="3"/>
  <c r="W20" i="3" s="1"/>
  <c r="H9" i="3"/>
  <c r="G10" i="3"/>
  <c r="G9" i="3" s="1"/>
  <c r="I409" i="1"/>
  <c r="J405" i="2"/>
  <c r="K218" i="2"/>
  <c r="K347" i="2"/>
  <c r="I509" i="1"/>
  <c r="J501" i="2" s="1"/>
  <c r="J77" i="2"/>
  <c r="J76" i="2"/>
  <c r="J70" i="2" s="1"/>
  <c r="G20" i="3"/>
  <c r="G19" i="3" s="1"/>
  <c r="J350" i="2"/>
  <c r="K20" i="2"/>
  <c r="I77" i="2"/>
  <c r="K505" i="2"/>
  <c r="I8" i="3"/>
  <c r="L8" i="3" s="1"/>
  <c r="O8" i="3" s="1"/>
  <c r="R8" i="3" s="1"/>
  <c r="U8" i="3" s="1"/>
  <c r="F8" i="3"/>
  <c r="F493" i="2"/>
  <c r="F524" i="2"/>
  <c r="H554" i="1"/>
  <c r="I553" i="2" s="1"/>
  <c r="K384" i="2"/>
  <c r="H381" i="1"/>
  <c r="I377" i="2"/>
  <c r="J327" i="2"/>
  <c r="K437" i="2"/>
  <c r="H351" i="1"/>
  <c r="F501" i="2"/>
  <c r="K573" i="2"/>
  <c r="I555" i="1"/>
  <c r="I234" i="2"/>
  <c r="I233" i="2"/>
  <c r="I53" i="2" s="1"/>
  <c r="U21" i="3"/>
  <c r="F20" i="3"/>
  <c r="F19" i="3"/>
  <c r="J356" i="2"/>
  <c r="F438" i="2"/>
  <c r="E381" i="1"/>
  <c r="E384" i="2"/>
  <c r="I327" i="2"/>
  <c r="E493" i="2"/>
  <c r="J115" i="2"/>
  <c r="J114" i="2" s="1"/>
  <c r="I349" i="2"/>
  <c r="I347" i="2" s="1"/>
  <c r="I354" i="2"/>
  <c r="E223" i="1"/>
  <c r="E20" i="1"/>
  <c r="E19" i="1" s="1"/>
  <c r="E420" i="2"/>
  <c r="E410" i="1"/>
  <c r="F531" i="2"/>
  <c r="H531" i="2"/>
  <c r="F530" i="2"/>
  <c r="H530" i="2" s="1"/>
  <c r="E534" i="2"/>
  <c r="C623" i="2"/>
  <c r="J354" i="2"/>
  <c r="J349" i="2"/>
  <c r="J347" i="2"/>
  <c r="I351" i="1"/>
  <c r="F349" i="2"/>
  <c r="F354" i="2"/>
  <c r="H354" i="2"/>
  <c r="E10" i="3"/>
  <c r="E9" i="3" s="1"/>
  <c r="F10" i="3"/>
  <c r="F9" i="3" s="1"/>
  <c r="K46" i="2"/>
  <c r="K553" i="2"/>
  <c r="I524" i="2"/>
  <c r="H509" i="1"/>
  <c r="K115" i="2"/>
  <c r="F558" i="2"/>
  <c r="H558" i="2" s="1"/>
  <c r="I573" i="2"/>
  <c r="L99" i="9"/>
  <c r="E197" i="8"/>
  <c r="L656" i="2"/>
  <c r="L223" i="8" s="1"/>
  <c r="G218" i="8"/>
  <c r="K146" i="2"/>
  <c r="F115" i="2"/>
  <c r="L178" i="2"/>
  <c r="E293" i="2"/>
  <c r="L294" i="2"/>
  <c r="E146" i="2"/>
  <c r="L147" i="2"/>
  <c r="G221" i="8"/>
  <c r="L277" i="2"/>
  <c r="K33" i="2"/>
  <c r="F347" i="2"/>
  <c r="H347" i="2"/>
  <c r="H349" i="2"/>
  <c r="F146" i="2"/>
  <c r="F22" i="2"/>
  <c r="H22" i="2" s="1"/>
  <c r="P331" i="1"/>
  <c r="K533" i="2"/>
  <c r="F376" i="2"/>
  <c r="F377" i="2"/>
  <c r="H377" i="2"/>
  <c r="E501" i="2"/>
  <c r="E491" i="2" s="1"/>
  <c r="E490" i="2"/>
  <c r="E480" i="2"/>
  <c r="K501" i="2"/>
  <c r="K490" i="2"/>
  <c r="K480" i="2"/>
  <c r="I71" i="1"/>
  <c r="O19" i="1"/>
  <c r="I76" i="2"/>
  <c r="I70" i="2"/>
  <c r="H71" i="1"/>
  <c r="K406" i="2"/>
  <c r="I554" i="1"/>
  <c r="J553" i="2" s="1"/>
  <c r="J554" i="2"/>
  <c r="G8" i="3"/>
  <c r="K435" i="2"/>
  <c r="H380" i="1"/>
  <c r="K377" i="2"/>
  <c r="F437" i="2"/>
  <c r="F527" i="2"/>
  <c r="E406" i="2"/>
  <c r="E409" i="1"/>
  <c r="E405" i="2" s="1"/>
  <c r="U54" i="3"/>
  <c r="J11" i="9"/>
  <c r="K11" i="9" s="1"/>
  <c r="K114" i="2"/>
  <c r="K112" i="2"/>
  <c r="K81" i="8" s="1"/>
  <c r="I501" i="2"/>
  <c r="K19" i="2"/>
  <c r="K18" i="2"/>
  <c r="T14" i="2" s="1"/>
  <c r="J100" i="9"/>
  <c r="J42" i="9"/>
  <c r="J110" i="9"/>
  <c r="J99" i="9"/>
  <c r="J35" i="9"/>
  <c r="J92" i="9"/>
  <c r="AA199" i="8"/>
  <c r="N119" i="8"/>
  <c r="L293" i="2"/>
  <c r="G222" i="8"/>
  <c r="K219" i="8"/>
  <c r="K216" i="8"/>
  <c r="H221" i="8"/>
  <c r="H222" i="8"/>
  <c r="G219" i="8"/>
  <c r="L219" i="8"/>
  <c r="L216" i="8"/>
  <c r="E275" i="2"/>
  <c r="L276" i="2"/>
  <c r="F114" i="2"/>
  <c r="K529" i="2"/>
  <c r="K525" i="2"/>
  <c r="F435" i="2"/>
  <c r="I376" i="2"/>
  <c r="K376" i="2"/>
  <c r="K405" i="2"/>
  <c r="F526" i="2"/>
  <c r="H216" i="8"/>
  <c r="G216" i="8"/>
  <c r="O343" i="1"/>
  <c r="O344" i="1" s="1"/>
  <c r="K375" i="2"/>
  <c r="K373" i="2" s="1"/>
  <c r="P607" i="1"/>
  <c r="P608" i="1" s="1"/>
  <c r="F606" i="1"/>
  <c r="H606" i="1"/>
  <c r="M345" i="1"/>
  <c r="F608" i="2"/>
  <c r="F606" i="2"/>
  <c r="I608" i="2"/>
  <c r="I606" i="2"/>
  <c r="I197" i="8" s="1"/>
  <c r="G608" i="2"/>
  <c r="Q108" i="9" l="1"/>
  <c r="R108" i="9" s="1"/>
  <c r="Q101" i="9"/>
  <c r="V100" i="9" s="1"/>
  <c r="Q100" i="9"/>
  <c r="Q110" i="9"/>
  <c r="Q36" i="9"/>
  <c r="Q42" i="9"/>
  <c r="Q37" i="9"/>
  <c r="Q99" i="9"/>
  <c r="Q92" i="9"/>
  <c r="Q35" i="9"/>
  <c r="V35" i="9" s="1"/>
  <c r="P119" i="8"/>
  <c r="AE199" i="8"/>
  <c r="T15" i="2"/>
  <c r="Z319" i="2"/>
  <c r="R18" i="2"/>
  <c r="R21" i="2" s="1"/>
  <c r="R328" i="2"/>
  <c r="R329" i="2" s="1"/>
  <c r="K110" i="9"/>
  <c r="I110" i="9" s="1"/>
  <c r="P18" i="11" s="1"/>
  <c r="H18" i="11" s="1"/>
  <c r="K108" i="9"/>
  <c r="I108" i="9" s="1"/>
  <c r="P17" i="11" s="1"/>
  <c r="H17" i="11" s="1"/>
  <c r="K92" i="9"/>
  <c r="K101" i="9"/>
  <c r="K42" i="9"/>
  <c r="K99" i="9"/>
  <c r="K100" i="9"/>
  <c r="K35" i="9"/>
  <c r="K37" i="9"/>
  <c r="K36" i="9"/>
  <c r="I14" i="10"/>
  <c r="K656" i="2"/>
  <c r="K223" i="8" s="1"/>
  <c r="K225" i="8"/>
  <c r="E349" i="2"/>
  <c r="E347" i="2" s="1"/>
  <c r="E351" i="1"/>
  <c r="E230" i="2"/>
  <c r="L230" i="2" s="1"/>
  <c r="L233" i="2"/>
  <c r="E22" i="2"/>
  <c r="L22" i="2" s="1"/>
  <c r="L24" i="2"/>
  <c r="H253" i="2"/>
  <c r="F252" i="2"/>
  <c r="H252" i="2" s="1"/>
  <c r="AE608" i="2"/>
  <c r="O351" i="1"/>
  <c r="R19" i="2"/>
  <c r="U35" i="9"/>
  <c r="J36" i="9"/>
  <c r="J108" i="9"/>
  <c r="H108" i="9" s="1"/>
  <c r="P17" i="10" s="1"/>
  <c r="H17" i="10" s="1"/>
  <c r="V20" i="3"/>
  <c r="V19" i="3" s="1"/>
  <c r="F327" i="2"/>
  <c r="H493" i="2"/>
  <c r="F491" i="2"/>
  <c r="F50" i="2"/>
  <c r="E527" i="2"/>
  <c r="C9" i="3"/>
  <c r="I589" i="2"/>
  <c r="I602" i="2" s="1"/>
  <c r="I344" i="2"/>
  <c r="P10" i="3"/>
  <c r="P9" i="3" s="1"/>
  <c r="V36" i="3"/>
  <c r="G658" i="2"/>
  <c r="L311" i="2"/>
  <c r="E380" i="1"/>
  <c r="E377" i="2"/>
  <c r="H178" i="2"/>
  <c r="F176" i="2"/>
  <c r="E561" i="2"/>
  <c r="E555" i="1"/>
  <c r="U47" i="3"/>
  <c r="L94" i="9" s="1"/>
  <c r="I36" i="3"/>
  <c r="G34" i="2"/>
  <c r="H123" i="2"/>
  <c r="M35" i="2"/>
  <c r="E354" i="2"/>
  <c r="F589" i="2"/>
  <c r="F602" i="2" s="1"/>
  <c r="F344" i="2"/>
  <c r="I269" i="2"/>
  <c r="H497" i="1"/>
  <c r="I497" i="2"/>
  <c r="H266" i="2"/>
  <c r="F55" i="2"/>
  <c r="H55" i="2" s="1"/>
  <c r="D13" i="5"/>
  <c r="I60" i="5"/>
  <c r="I21" i="4" s="1"/>
  <c r="I29" i="4" s="1"/>
  <c r="I45" i="4" s="1"/>
  <c r="L329" i="2"/>
  <c r="E327" i="2"/>
  <c r="H313" i="2"/>
  <c r="F311" i="2"/>
  <c r="H302" i="2"/>
  <c r="F299" i="2"/>
  <c r="J299" i="2"/>
  <c r="J294" i="2" s="1"/>
  <c r="J293" i="2" s="1"/>
  <c r="H284" i="2"/>
  <c r="F281" i="2"/>
  <c r="F31" i="2"/>
  <c r="H279" i="2"/>
  <c r="L43" i="9"/>
  <c r="U20" i="3"/>
  <c r="F34" i="2"/>
  <c r="H179" i="2"/>
  <c r="J656" i="2"/>
  <c r="J223" i="8" s="1"/>
  <c r="J225" i="8"/>
  <c r="F53" i="2"/>
  <c r="H53" i="2" s="1"/>
  <c r="H233" i="2"/>
  <c r="K326" i="2"/>
  <c r="K343" i="2" s="1"/>
  <c r="J37" i="9"/>
  <c r="J101" i="9"/>
  <c r="J45" i="2"/>
  <c r="I34" i="2"/>
  <c r="I33" i="2" s="1"/>
  <c r="E53" i="2"/>
  <c r="L53" i="2" s="1"/>
  <c r="R110" i="9"/>
  <c r="E437" i="2"/>
  <c r="E439" i="1"/>
  <c r="E435" i="2" s="1"/>
  <c r="E59" i="2"/>
  <c r="L59" i="2" s="1"/>
  <c r="L321" i="2"/>
  <c r="L123" i="2"/>
  <c r="E176" i="2"/>
  <c r="L176" i="2" s="1"/>
  <c r="E57" i="2"/>
  <c r="L57" i="2" s="1"/>
  <c r="L124" i="2"/>
  <c r="E123" i="2"/>
  <c r="I381" i="1"/>
  <c r="E458" i="1"/>
  <c r="E454" i="2" s="1"/>
  <c r="E455" i="2"/>
  <c r="I27" i="4"/>
  <c r="I43" i="4" s="1"/>
  <c r="N46" i="9"/>
  <c r="I419" i="2"/>
  <c r="H410" i="1"/>
  <c r="H442" i="1"/>
  <c r="I444" i="2"/>
  <c r="O579" i="1"/>
  <c r="I579" i="2"/>
  <c r="F33" i="3"/>
  <c r="U33" i="3" s="1"/>
  <c r="U32" i="3"/>
  <c r="I14" i="4"/>
  <c r="N105" i="9"/>
  <c r="N101" i="9" s="1"/>
  <c r="E14" i="8"/>
  <c r="E49" i="8" s="1"/>
  <c r="E132" i="8" s="1"/>
  <c r="E181" i="8" s="1"/>
  <c r="E193" i="8" s="1"/>
  <c r="E14" i="2"/>
  <c r="E66" i="2" s="1"/>
  <c r="H542" i="1"/>
  <c r="G275" i="2"/>
  <c r="L275" i="2" s="1"/>
  <c r="I531" i="1"/>
  <c r="J530" i="2"/>
  <c r="D275" i="2"/>
  <c r="D269" i="2" s="1"/>
  <c r="D20" i="2"/>
  <c r="D384" i="2"/>
  <c r="D381" i="1"/>
  <c r="G509" i="1"/>
  <c r="G524" i="2"/>
  <c r="H524" i="2" s="1"/>
  <c r="G408" i="2"/>
  <c r="H408" i="2" s="1"/>
  <c r="G410" i="1"/>
  <c r="G438" i="2"/>
  <c r="H438" i="2" s="1"/>
  <c r="G440" i="1"/>
  <c r="G527" i="2"/>
  <c r="H527" i="2" s="1"/>
  <c r="G530" i="1"/>
  <c r="D282" i="1"/>
  <c r="D281" i="1" s="1"/>
  <c r="D280" i="1" s="1"/>
  <c r="D273" i="1" s="1"/>
  <c r="D36" i="1"/>
  <c r="D176" i="8"/>
  <c r="D572" i="1"/>
  <c r="D510" i="2"/>
  <c r="D505" i="2" s="1"/>
  <c r="D510" i="1"/>
  <c r="D455" i="1"/>
  <c r="D452" i="2"/>
  <c r="D422" i="2"/>
  <c r="D424" i="1"/>
  <c r="D420" i="2" s="1"/>
  <c r="D413" i="2"/>
  <c r="D410" i="1"/>
  <c r="D378" i="2"/>
  <c r="D152" i="8"/>
  <c r="G58" i="1"/>
  <c r="G182" i="1"/>
  <c r="G560" i="2"/>
  <c r="H560" i="2" s="1"/>
  <c r="G569" i="2"/>
  <c r="H569" i="2" s="1"/>
  <c r="G560" i="1"/>
  <c r="G561" i="2" s="1"/>
  <c r="G30" i="2"/>
  <c r="G116" i="2"/>
  <c r="H51" i="1"/>
  <c r="K229" i="1"/>
  <c r="H224" i="1"/>
  <c r="G607" i="2"/>
  <c r="G327" i="2"/>
  <c r="D525" i="2"/>
  <c r="G535" i="2"/>
  <c r="D34" i="2"/>
  <c r="D33" i="2" s="1"/>
  <c r="G146" i="2"/>
  <c r="D442" i="1"/>
  <c r="G344" i="2"/>
  <c r="G589" i="2"/>
  <c r="G602" i="2" s="1"/>
  <c r="D237" i="1"/>
  <c r="D236" i="1" s="1"/>
  <c r="D234" i="2"/>
  <c r="D233" i="2" s="1"/>
  <c r="D533" i="2"/>
  <c r="D529" i="2"/>
  <c r="G380" i="1"/>
  <c r="D553" i="2"/>
  <c r="D172" i="8"/>
  <c r="D114" i="2"/>
  <c r="D22" i="2"/>
  <c r="D454" i="2"/>
  <c r="D158" i="8"/>
  <c r="D347" i="2"/>
  <c r="G480" i="2"/>
  <c r="F486" i="2"/>
  <c r="F480" i="1"/>
  <c r="G273" i="2"/>
  <c r="G271" i="2"/>
  <c r="I486" i="1"/>
  <c r="L229" i="1"/>
  <c r="M229" i="1"/>
  <c r="I228" i="1"/>
  <c r="I51" i="1" s="1"/>
  <c r="G11" i="9"/>
  <c r="D52" i="2"/>
  <c r="D164" i="8"/>
  <c r="F34" i="1"/>
  <c r="F20" i="1"/>
  <c r="F19" i="1" s="1"/>
  <c r="L19" i="1" s="1"/>
  <c r="I47" i="2"/>
  <c r="I220" i="2"/>
  <c r="H48" i="1"/>
  <c r="N317" i="1"/>
  <c r="D174" i="8"/>
  <c r="D575" i="2"/>
  <c r="F118" i="1"/>
  <c r="F331" i="1" s="1"/>
  <c r="L331" i="1" s="1"/>
  <c r="F572" i="1"/>
  <c r="F573" i="2" s="1"/>
  <c r="H573" i="2" s="1"/>
  <c r="F560" i="1"/>
  <c r="F561" i="2" s="1"/>
  <c r="F538" i="1"/>
  <c r="L317" i="1"/>
  <c r="F642" i="2"/>
  <c r="F216" i="8" s="1"/>
  <c r="J642" i="2"/>
  <c r="J216" i="8" s="1"/>
  <c r="I497" i="1"/>
  <c r="I580" i="1"/>
  <c r="N312" i="1"/>
  <c r="N315" i="1" s="1"/>
  <c r="F42" i="9"/>
  <c r="F36" i="9" s="1"/>
  <c r="F35" i="9"/>
  <c r="F11" i="9" s="1"/>
  <c r="J215" i="2"/>
  <c r="I476" i="1"/>
  <c r="I463" i="1"/>
  <c r="I49" i="1"/>
  <c r="J49" i="2"/>
  <c r="I207" i="2"/>
  <c r="I210" i="1"/>
  <c r="J207" i="2"/>
  <c r="I469" i="1"/>
  <c r="J212" i="2"/>
  <c r="I473" i="1"/>
  <c r="F411" i="1"/>
  <c r="F407" i="2" s="1"/>
  <c r="H407" i="2" s="1"/>
  <c r="F410" i="1"/>
  <c r="J231" i="2"/>
  <c r="E224" i="2"/>
  <c r="L224" i="2" s="1"/>
  <c r="E49" i="2"/>
  <c r="D89" i="8"/>
  <c r="W14" i="8"/>
  <c r="N19" i="8"/>
  <c r="X14" i="8"/>
  <c r="O19" i="8"/>
  <c r="I225" i="1"/>
  <c r="M228" i="1"/>
  <c r="L228" i="1"/>
  <c r="I295" i="1"/>
  <c r="L43" i="3"/>
  <c r="I234" i="1"/>
  <c r="G233" i="1"/>
  <c r="H239" i="1"/>
  <c r="V57" i="3"/>
  <c r="V12" i="3" s="1"/>
  <c r="V56" i="3"/>
  <c r="V11" i="3" s="1"/>
  <c r="H466" i="1"/>
  <c r="F424" i="1"/>
  <c r="F420" i="2" s="1"/>
  <c r="H420" i="2" s="1"/>
  <c r="E220" i="2"/>
  <c r="F47" i="2"/>
  <c r="F46" i="2" s="1"/>
  <c r="E275" i="1"/>
  <c r="E274" i="1" s="1"/>
  <c r="E273" i="1" s="1"/>
  <c r="E118" i="1" s="1"/>
  <c r="E274" i="2"/>
  <c r="G103" i="1"/>
  <c r="I112" i="1"/>
  <c r="J109" i="2" s="1"/>
  <c r="G36" i="9"/>
  <c r="I210" i="2"/>
  <c r="J210" i="2"/>
  <c r="I215" i="1"/>
  <c r="I471" i="1"/>
  <c r="G53" i="1"/>
  <c r="G51" i="2" s="1"/>
  <c r="G49" i="1"/>
  <c r="H49" i="2"/>
  <c r="N100" i="9" l="1"/>
  <c r="R101" i="9"/>
  <c r="H101" i="9" s="1"/>
  <c r="P16" i="10" s="1"/>
  <c r="I233" i="1"/>
  <c r="I491" i="1"/>
  <c r="I490" i="1" s="1"/>
  <c r="J227" i="2"/>
  <c r="W55" i="3"/>
  <c r="I485" i="1"/>
  <c r="I481" i="1" s="1"/>
  <c r="J484" i="2"/>
  <c r="J481" i="2" s="1"/>
  <c r="I530" i="1"/>
  <c r="J527" i="2"/>
  <c r="V36" i="9"/>
  <c r="R37" i="9"/>
  <c r="H51" i="2"/>
  <c r="L51" i="2"/>
  <c r="G100" i="2"/>
  <c r="G90" i="1"/>
  <c r="I209" i="2"/>
  <c r="I203" i="2" s="1"/>
  <c r="I196" i="2" s="1"/>
  <c r="I195" i="2" s="1"/>
  <c r="I112" i="2" s="1"/>
  <c r="J209" i="2"/>
  <c r="I56" i="1"/>
  <c r="I103" i="1"/>
  <c r="L75" i="1"/>
  <c r="E331" i="1"/>
  <c r="G50" i="2"/>
  <c r="G226" i="2"/>
  <c r="G50" i="1"/>
  <c r="G47" i="1" s="1"/>
  <c r="G20" i="1" s="1"/>
  <c r="G19" i="1" s="1"/>
  <c r="G223" i="1"/>
  <c r="L49" i="2"/>
  <c r="E46" i="2"/>
  <c r="F409" i="1"/>
  <c r="F406" i="2"/>
  <c r="J581" i="2"/>
  <c r="I572" i="1"/>
  <c r="J573" i="2" s="1"/>
  <c r="I46" i="2"/>
  <c r="G376" i="2"/>
  <c r="H376" i="2" s="1"/>
  <c r="D52" i="1"/>
  <c r="D47" i="1" s="1"/>
  <c r="D20" i="1" s="1"/>
  <c r="D223" i="1"/>
  <c r="D118" i="1" s="1"/>
  <c r="D331" i="1" s="1"/>
  <c r="L146" i="2"/>
  <c r="H146" i="2"/>
  <c r="D167" i="8"/>
  <c r="D509" i="1"/>
  <c r="D524" i="2"/>
  <c r="D34" i="1"/>
  <c r="D21" i="1"/>
  <c r="G439" i="1"/>
  <c r="G435" i="2" s="1"/>
  <c r="H435" i="2" s="1"/>
  <c r="G437" i="2"/>
  <c r="H437" i="2" s="1"/>
  <c r="I541" i="2"/>
  <c r="H538" i="1"/>
  <c r="H440" i="1"/>
  <c r="I438" i="2"/>
  <c r="E116" i="2"/>
  <c r="E115" i="2" s="1"/>
  <c r="E114" i="2" s="1"/>
  <c r="E34" i="2"/>
  <c r="I19" i="2"/>
  <c r="I18" i="2" s="1"/>
  <c r="H299" i="2"/>
  <c r="F294" i="2"/>
  <c r="I10" i="3"/>
  <c r="I9" i="3" s="1"/>
  <c r="I19" i="3"/>
  <c r="E376" i="2"/>
  <c r="E379" i="1"/>
  <c r="K19" i="1"/>
  <c r="I100" i="9"/>
  <c r="I101" i="9"/>
  <c r="P16" i="11" s="1"/>
  <c r="F537" i="1"/>
  <c r="F535" i="2"/>
  <c r="H535" i="2" s="1"/>
  <c r="D154" i="8"/>
  <c r="D409" i="1"/>
  <c r="D406" i="2"/>
  <c r="E589" i="2"/>
  <c r="E602" i="2" s="1"/>
  <c r="C620" i="2"/>
  <c r="E344" i="2"/>
  <c r="I406" i="2"/>
  <c r="H409" i="1"/>
  <c r="L92" i="9"/>
  <c r="N94" i="9"/>
  <c r="N92" i="9" s="1"/>
  <c r="R92" i="9" s="1"/>
  <c r="I48" i="1"/>
  <c r="J220" i="2"/>
  <c r="J47" i="2"/>
  <c r="I224" i="1"/>
  <c r="I223" i="1"/>
  <c r="H561" i="2"/>
  <c r="G115" i="2"/>
  <c r="H116" i="2"/>
  <c r="L116" i="2"/>
  <c r="D451" i="2"/>
  <c r="D157" i="8"/>
  <c r="D173" i="8"/>
  <c r="D225" i="8" s="1"/>
  <c r="D223" i="8" s="1"/>
  <c r="D573" i="2"/>
  <c r="D658" i="2" s="1"/>
  <c r="D656" i="2" s="1"/>
  <c r="G526" i="2"/>
  <c r="H526" i="2" s="1"/>
  <c r="G409" i="1"/>
  <c r="G405" i="2" s="1"/>
  <c r="G406" i="2"/>
  <c r="D380" i="1"/>
  <c r="D151" i="8"/>
  <c r="D377" i="2"/>
  <c r="D15" i="4"/>
  <c r="U100" i="9"/>
  <c r="H311" i="2"/>
  <c r="F45" i="2"/>
  <c r="H45" i="2" s="1"/>
  <c r="E554" i="2"/>
  <c r="E554" i="1"/>
  <c r="G225" i="8"/>
  <c r="G656" i="2"/>
  <c r="G223" i="8" s="1"/>
  <c r="H491" i="2"/>
  <c r="F490" i="2"/>
  <c r="H490" i="2" s="1"/>
  <c r="I37" i="9"/>
  <c r="P11" i="11" s="1"/>
  <c r="J493" i="2"/>
  <c r="J491" i="2" s="1"/>
  <c r="J490" i="2" s="1"/>
  <c r="I494" i="1"/>
  <c r="I493" i="1" s="1"/>
  <c r="H486" i="2"/>
  <c r="H327" i="2"/>
  <c r="L327" i="2"/>
  <c r="G118" i="1"/>
  <c r="G501" i="2"/>
  <c r="H501" i="2" s="1"/>
  <c r="G494" i="1"/>
  <c r="G493" i="1" s="1"/>
  <c r="G480" i="1" s="1"/>
  <c r="N43" i="9"/>
  <c r="H281" i="2"/>
  <c r="F277" i="2"/>
  <c r="F35" i="2"/>
  <c r="H35" i="2" s="1"/>
  <c r="H176" i="2"/>
  <c r="L220" i="2"/>
  <c r="E219" i="2"/>
  <c r="L219" i="2" s="1"/>
  <c r="E218" i="2"/>
  <c r="L36" i="3"/>
  <c r="U43" i="3"/>
  <c r="L62" i="9" s="1"/>
  <c r="I209" i="1"/>
  <c r="J204" i="2"/>
  <c r="J203" i="2" s="1"/>
  <c r="J196" i="2" s="1"/>
  <c r="J195" i="2" s="1"/>
  <c r="G270" i="2"/>
  <c r="H271" i="2"/>
  <c r="L271" i="2"/>
  <c r="F555" i="1"/>
  <c r="G607" i="1"/>
  <c r="G198" i="8"/>
  <c r="L198" i="8" s="1"/>
  <c r="G606" i="2"/>
  <c r="E273" i="2"/>
  <c r="E58" i="2" s="1"/>
  <c r="L274" i="2"/>
  <c r="E271" i="2"/>
  <c r="E270" i="2" s="1"/>
  <c r="E269" i="2" s="1"/>
  <c r="H231" i="2"/>
  <c r="I231" i="2"/>
  <c r="H53" i="1"/>
  <c r="I51" i="2" s="1"/>
  <c r="H236" i="1"/>
  <c r="H237" i="1"/>
  <c r="V55" i="3" s="1"/>
  <c r="I551" i="1"/>
  <c r="I286" i="1"/>
  <c r="J290" i="2"/>
  <c r="J281" i="2" s="1"/>
  <c r="N43" i="3"/>
  <c r="I53" i="1"/>
  <c r="J51" i="2" s="1"/>
  <c r="I219" i="2"/>
  <c r="I218" i="2"/>
  <c r="G58" i="2"/>
  <c r="L273" i="2"/>
  <c r="H273" i="2"/>
  <c r="D230" i="2"/>
  <c r="D218" i="2"/>
  <c r="D112" i="2" s="1"/>
  <c r="D326" i="2" s="1"/>
  <c r="D343" i="2" s="1"/>
  <c r="D53" i="2"/>
  <c r="D46" i="2" s="1"/>
  <c r="D438" i="2"/>
  <c r="D440" i="1"/>
  <c r="D19" i="2"/>
  <c r="D18" i="2" s="1"/>
  <c r="G29" i="2"/>
  <c r="H30" i="2"/>
  <c r="L30" i="2"/>
  <c r="G555" i="1"/>
  <c r="I380" i="1"/>
  <c r="J377" i="2"/>
  <c r="H110" i="9"/>
  <c r="P18" i="10" s="1"/>
  <c r="H18" i="10" s="1"/>
  <c r="U36" i="9"/>
  <c r="H37" i="9"/>
  <c r="P11" i="10" s="1"/>
  <c r="H31" i="2"/>
  <c r="F29" i="2"/>
  <c r="I13" i="5"/>
  <c r="D61" i="5"/>
  <c r="D22" i="4" s="1"/>
  <c r="D30" i="4" s="1"/>
  <c r="D46" i="4" s="1"/>
  <c r="I493" i="2"/>
  <c r="I491" i="2" s="1"/>
  <c r="I490" i="2" s="1"/>
  <c r="I480" i="2" s="1"/>
  <c r="H494" i="1"/>
  <c r="H493" i="1" s="1"/>
  <c r="H480" i="1" s="1"/>
  <c r="G33" i="2"/>
  <c r="L34" i="2"/>
  <c r="H34" i="2"/>
  <c r="P15" i="10" l="1"/>
  <c r="H16" i="10"/>
  <c r="E553" i="2"/>
  <c r="E536" i="1"/>
  <c r="I81" i="8"/>
  <c r="I326" i="2"/>
  <c r="I343" i="2" s="1"/>
  <c r="H52" i="1"/>
  <c r="H47" i="1" s="1"/>
  <c r="H20" i="1" s="1"/>
  <c r="H19" i="1" s="1"/>
  <c r="M19" i="1" s="1"/>
  <c r="H223" i="1"/>
  <c r="H118" i="1" s="1"/>
  <c r="H331" i="1" s="1"/>
  <c r="N331" i="1" s="1"/>
  <c r="G554" i="2"/>
  <c r="G554" i="1"/>
  <c r="L29" i="2"/>
  <c r="H29" i="2"/>
  <c r="I542" i="1"/>
  <c r="J550" i="2"/>
  <c r="C612" i="2"/>
  <c r="E20" i="2"/>
  <c r="F554" i="1"/>
  <c r="F553" i="2" s="1"/>
  <c r="F554" i="2"/>
  <c r="H554" i="2" s="1"/>
  <c r="L10" i="3"/>
  <c r="L9" i="3" s="1"/>
  <c r="L19" i="3"/>
  <c r="I92" i="9"/>
  <c r="P13" i="11" s="1"/>
  <c r="H13" i="11" s="1"/>
  <c r="H11" i="11"/>
  <c r="I405" i="2"/>
  <c r="H379" i="1"/>
  <c r="P15" i="11"/>
  <c r="H16" i="11"/>
  <c r="G379" i="1"/>
  <c r="H406" i="2"/>
  <c r="K351" i="1"/>
  <c r="M331" i="1"/>
  <c r="L354" i="1"/>
  <c r="L337" i="1"/>
  <c r="J50" i="2"/>
  <c r="I50" i="1"/>
  <c r="I47" i="1" s="1"/>
  <c r="I20" i="1" s="1"/>
  <c r="J226" i="2"/>
  <c r="I61" i="5"/>
  <c r="I22" i="4" s="1"/>
  <c r="I30" i="4" s="1"/>
  <c r="I46" i="4" s="1"/>
  <c r="D14" i="5"/>
  <c r="V54" i="3"/>
  <c r="V10" i="3"/>
  <c r="V9" i="3" s="1"/>
  <c r="AD608" i="2"/>
  <c r="G197" i="8"/>
  <c r="R14" i="2"/>
  <c r="H439" i="1"/>
  <c r="I435" i="2" s="1"/>
  <c r="I437" i="2"/>
  <c r="D166" i="8"/>
  <c r="D494" i="1"/>
  <c r="D493" i="1" s="1"/>
  <c r="D480" i="1" s="1"/>
  <c r="D501" i="2"/>
  <c r="D491" i="2" s="1"/>
  <c r="D490" i="2" s="1"/>
  <c r="D480" i="2" s="1"/>
  <c r="D156" i="8"/>
  <c r="D437" i="2"/>
  <c r="D439" i="1"/>
  <c r="J277" i="2"/>
  <c r="J276" i="2" s="1"/>
  <c r="J275" i="2" s="1"/>
  <c r="J269" i="2" s="1"/>
  <c r="J35" i="2"/>
  <c r="I466" i="1"/>
  <c r="W56" i="3"/>
  <c r="W11" i="3" s="1"/>
  <c r="I52" i="1"/>
  <c r="I201" i="1"/>
  <c r="F276" i="2"/>
  <c r="H277" i="2"/>
  <c r="G114" i="2"/>
  <c r="H115" i="2"/>
  <c r="L115" i="2"/>
  <c r="J46" i="2"/>
  <c r="J19" i="2" s="1"/>
  <c r="D405" i="2"/>
  <c r="D153" i="8"/>
  <c r="F536" i="1"/>
  <c r="F534" i="2"/>
  <c r="H534" i="2" s="1"/>
  <c r="H294" i="2"/>
  <c r="F293" i="2"/>
  <c r="H293" i="2" s="1"/>
  <c r="M34" i="2"/>
  <c r="E33" i="2"/>
  <c r="E19" i="2"/>
  <c r="E18" i="2" s="1"/>
  <c r="I535" i="2"/>
  <c r="H537" i="1"/>
  <c r="D19" i="1"/>
  <c r="G218" i="2"/>
  <c r="L226" i="2"/>
  <c r="J100" i="2"/>
  <c r="J87" i="2" s="1"/>
  <c r="I90" i="1"/>
  <c r="G331" i="1"/>
  <c r="Q331" i="1" s="1"/>
  <c r="J526" i="2"/>
  <c r="R100" i="9"/>
  <c r="N99" i="9"/>
  <c r="L33" i="2"/>
  <c r="H11" i="10"/>
  <c r="G20" i="2"/>
  <c r="L20" i="2" s="1"/>
  <c r="H58" i="2"/>
  <c r="L58" i="2"/>
  <c r="N36" i="3"/>
  <c r="W43" i="3"/>
  <c r="H92" i="9"/>
  <c r="P13" i="10" s="1"/>
  <c r="H13" i="10" s="1"/>
  <c r="E375" i="2"/>
  <c r="F379" i="1"/>
  <c r="F405" i="2"/>
  <c r="H405" i="2" s="1"/>
  <c r="F20" i="2"/>
  <c r="J376" i="2"/>
  <c r="I379" i="1"/>
  <c r="I282" i="1"/>
  <c r="I281" i="1" s="1"/>
  <c r="I280" i="1" s="1"/>
  <c r="I273" i="1" s="1"/>
  <c r="I36" i="1"/>
  <c r="I607" i="1"/>
  <c r="G606" i="1"/>
  <c r="L345" i="1" s="1"/>
  <c r="G269" i="2"/>
  <c r="L270" i="2"/>
  <c r="H270" i="2"/>
  <c r="N62" i="9"/>
  <c r="N48" i="9" s="1"/>
  <c r="N42" i="9" s="1"/>
  <c r="L48" i="9"/>
  <c r="L42" i="9" s="1"/>
  <c r="F480" i="2"/>
  <c r="H480" i="2" s="1"/>
  <c r="I15" i="4"/>
  <c r="D376" i="2"/>
  <c r="D379" i="1"/>
  <c r="D150" i="8"/>
  <c r="J218" i="2"/>
  <c r="J112" i="2" s="1"/>
  <c r="J81" i="8" s="1"/>
  <c r="J219" i="2"/>
  <c r="F33" i="2"/>
  <c r="H33" i="2" s="1"/>
  <c r="U36" i="3"/>
  <c r="E112" i="2"/>
  <c r="G46" i="2"/>
  <c r="L50" i="2"/>
  <c r="L100" i="2"/>
  <c r="H100" i="2"/>
  <c r="G87" i="2"/>
  <c r="J488" i="2"/>
  <c r="J480" i="2" s="1"/>
  <c r="I480" i="1"/>
  <c r="F19" i="2"/>
  <c r="N36" i="9" l="1"/>
  <c r="R42" i="9"/>
  <c r="I42" i="9"/>
  <c r="P12" i="11" s="1"/>
  <c r="I19" i="1"/>
  <c r="N19" i="1" s="1"/>
  <c r="F18" i="2"/>
  <c r="R99" i="9"/>
  <c r="I99" i="9"/>
  <c r="H87" i="2"/>
  <c r="L87" i="2"/>
  <c r="L46" i="2"/>
  <c r="H46" i="2"/>
  <c r="G19" i="2"/>
  <c r="L36" i="9"/>
  <c r="L269" i="2"/>
  <c r="J326" i="2"/>
  <c r="J343" i="2" s="1"/>
  <c r="H536" i="1"/>
  <c r="I534" i="2"/>
  <c r="F529" i="1"/>
  <c r="F525" i="2" s="1"/>
  <c r="F533" i="2"/>
  <c r="F529" i="2"/>
  <c r="D155" i="8"/>
  <c r="D435" i="2"/>
  <c r="AD199" i="8"/>
  <c r="L197" i="8"/>
  <c r="I14" i="5"/>
  <c r="D62" i="5"/>
  <c r="D23" i="4" s="1"/>
  <c r="D31" i="4" s="1"/>
  <c r="D47" i="4" s="1"/>
  <c r="H15" i="11"/>
  <c r="P14" i="11"/>
  <c r="H14" i="11" s="1"/>
  <c r="E81" i="8"/>
  <c r="AA18" i="8" s="1"/>
  <c r="E326" i="2"/>
  <c r="E343" i="2" s="1"/>
  <c r="N19" i="3"/>
  <c r="N10" i="3"/>
  <c r="N9" i="3" s="1"/>
  <c r="W36" i="3"/>
  <c r="U10" i="3"/>
  <c r="U9" i="3" s="1"/>
  <c r="U19" i="3"/>
  <c r="H100" i="9"/>
  <c r="L218" i="2"/>
  <c r="H218" i="2"/>
  <c r="AA18" i="2"/>
  <c r="I118" i="1"/>
  <c r="J20" i="2"/>
  <c r="J18" i="2" s="1"/>
  <c r="J33" i="2"/>
  <c r="G375" i="2"/>
  <c r="G373" i="2" s="1"/>
  <c r="I538" i="1"/>
  <c r="J541" i="2"/>
  <c r="J375" i="2"/>
  <c r="H276" i="2"/>
  <c r="H275" i="2" s="1"/>
  <c r="F275" i="2"/>
  <c r="F269" i="2" s="1"/>
  <c r="F112" i="2" s="1"/>
  <c r="F326" i="2" s="1"/>
  <c r="F343" i="2" s="1"/>
  <c r="I375" i="2"/>
  <c r="G553" i="2"/>
  <c r="H553" i="2" s="1"/>
  <c r="G536" i="1"/>
  <c r="D16" i="4"/>
  <c r="J607" i="2"/>
  <c r="I606" i="1"/>
  <c r="N345" i="1" s="1"/>
  <c r="F377" i="1"/>
  <c r="F375" i="2"/>
  <c r="D149" i="8"/>
  <c r="D147" i="8" s="1"/>
  <c r="D377" i="1"/>
  <c r="D375" i="2"/>
  <c r="I21" i="1"/>
  <c r="I34" i="1"/>
  <c r="H20" i="2"/>
  <c r="I331" i="1"/>
  <c r="O331" i="1" s="1"/>
  <c r="G112" i="2"/>
  <c r="L114" i="2"/>
  <c r="H114" i="2"/>
  <c r="W54" i="3"/>
  <c r="E533" i="2"/>
  <c r="E529" i="2"/>
  <c r="E529" i="1"/>
  <c r="P14" i="10"/>
  <c r="H14" i="10" s="1"/>
  <c r="H15" i="10"/>
  <c r="S14" i="2" l="1"/>
  <c r="E525" i="2"/>
  <c r="E373" i="2" s="1"/>
  <c r="E377" i="1"/>
  <c r="K343" i="1" s="1"/>
  <c r="G533" i="2"/>
  <c r="G529" i="2"/>
  <c r="H529" i="2" s="1"/>
  <c r="G529" i="1"/>
  <c r="P15" i="2"/>
  <c r="T18" i="2"/>
  <c r="T19" i="2" s="1"/>
  <c r="O233" i="2"/>
  <c r="L35" i="9"/>
  <c r="J198" i="8"/>
  <c r="J606" i="2"/>
  <c r="I537" i="1"/>
  <c r="J535" i="2"/>
  <c r="W10" i="3"/>
  <c r="W9" i="3" s="1"/>
  <c r="W19" i="3"/>
  <c r="I62" i="5"/>
  <c r="I23" i="4" s="1"/>
  <c r="I31" i="4" s="1"/>
  <c r="I47" i="4" s="1"/>
  <c r="D15" i="5"/>
  <c r="H99" i="9"/>
  <c r="H12" i="11"/>
  <c r="P10" i="11"/>
  <c r="G81" i="8"/>
  <c r="L81" i="8" s="1"/>
  <c r="L112" i="2"/>
  <c r="H112" i="2"/>
  <c r="H375" i="2"/>
  <c r="F373" i="2"/>
  <c r="G18" i="2"/>
  <c r="L19" i="2"/>
  <c r="H42" i="9"/>
  <c r="P12" i="10" s="1"/>
  <c r="H533" i="2"/>
  <c r="D373" i="2"/>
  <c r="I16" i="4"/>
  <c r="H529" i="1"/>
  <c r="I529" i="2"/>
  <c r="I533" i="2"/>
  <c r="H269" i="2"/>
  <c r="G326" i="2"/>
  <c r="H19" i="2"/>
  <c r="H18" i="2" s="1"/>
  <c r="R36" i="9"/>
  <c r="N35" i="9"/>
  <c r="I36" i="9"/>
  <c r="R35" i="9" l="1"/>
  <c r="N11" i="9"/>
  <c r="I35" i="9"/>
  <c r="I536" i="1"/>
  <c r="J534" i="2"/>
  <c r="L11" i="9"/>
  <c r="S35" i="9" s="1"/>
  <c r="G525" i="2"/>
  <c r="H525" i="2" s="1"/>
  <c r="G377" i="1"/>
  <c r="L343" i="1" s="1"/>
  <c r="L344" i="1" s="1"/>
  <c r="N18" i="2"/>
  <c r="V319" i="2"/>
  <c r="N328" i="2"/>
  <c r="N329" i="2" s="1"/>
  <c r="N330" i="2" s="1"/>
  <c r="W319" i="2"/>
  <c r="O328" i="2"/>
  <c r="O329" i="2" s="1"/>
  <c r="O330" i="2" s="1"/>
  <c r="O18" i="2"/>
  <c r="H373" i="2"/>
  <c r="J197" i="8"/>
  <c r="AF608" i="2"/>
  <c r="H36" i="9"/>
  <c r="H12" i="10"/>
  <c r="P10" i="10"/>
  <c r="H10" i="11"/>
  <c r="P9" i="11"/>
  <c r="H9" i="11" s="1"/>
  <c r="H19" i="11" s="1"/>
  <c r="G343" i="2"/>
  <c r="H326" i="2"/>
  <c r="L326" i="2"/>
  <c r="I525" i="2"/>
  <c r="I373" i="2" s="1"/>
  <c r="H377" i="1"/>
  <c r="M343" i="1" s="1"/>
  <c r="T21" i="2"/>
  <c r="P14" i="2"/>
  <c r="L18" i="2"/>
  <c r="U14" i="2" s="1"/>
  <c r="I15" i="5"/>
  <c r="I63" i="5" s="1"/>
  <c r="I24" i="4" s="1"/>
  <c r="I32" i="4" s="1"/>
  <c r="I48" i="4" s="1"/>
  <c r="D63" i="5"/>
  <c r="D24" i="4" s="1"/>
  <c r="D32" i="4" s="1"/>
  <c r="D48" i="4" s="1"/>
  <c r="K339" i="1"/>
  <c r="K344" i="1"/>
  <c r="L607" i="1"/>
  <c r="L608" i="1" s="1"/>
  <c r="X14" i="2" l="1"/>
  <c r="O21" i="2"/>
  <c r="O19" i="2"/>
  <c r="H10" i="10"/>
  <c r="P9" i="10"/>
  <c r="H9" i="10" s="1"/>
  <c r="H19" i="10" s="1"/>
  <c r="W14" i="2"/>
  <c r="N19" i="2"/>
  <c r="N21" i="2"/>
  <c r="R11" i="9"/>
  <c r="I11" i="9"/>
  <c r="AF199" i="8"/>
  <c r="Q119" i="8"/>
  <c r="T35" i="9"/>
  <c r="H35" i="9"/>
  <c r="S37" i="9"/>
  <c r="S100" i="9"/>
  <c r="S110" i="9"/>
  <c r="S108" i="9"/>
  <c r="S99" i="9"/>
  <c r="S101" i="9"/>
  <c r="S92" i="9"/>
  <c r="S42" i="9"/>
  <c r="S36" i="9"/>
  <c r="N607" i="1"/>
  <c r="N608" i="1" s="1"/>
  <c r="M351" i="1"/>
  <c r="M344" i="1"/>
  <c r="P18" i="2"/>
  <c r="R15" i="2"/>
  <c r="X319" i="2"/>
  <c r="P328" i="2"/>
  <c r="P329" i="2" s="1"/>
  <c r="J529" i="2"/>
  <c r="J533" i="2"/>
  <c r="I529" i="1"/>
  <c r="Y14" i="2" l="1"/>
  <c r="P21" i="2"/>
  <c r="P19" i="2"/>
  <c r="J525" i="2"/>
  <c r="J373" i="2" s="1"/>
  <c r="I377" i="1"/>
  <c r="N343" i="1" s="1"/>
  <c r="H11" i="9"/>
  <c r="T108" i="9"/>
  <c r="T110" i="9"/>
  <c r="T37" i="9"/>
  <c r="T101" i="9"/>
  <c r="T92" i="9"/>
  <c r="T100" i="9"/>
  <c r="T42" i="9"/>
  <c r="T99" i="9"/>
  <c r="T36" i="9"/>
  <c r="Y319" i="2" l="1"/>
  <c r="S15" i="2"/>
  <c r="Q18" i="2"/>
  <c r="Q328" i="2"/>
  <c r="Q329" i="2" s="1"/>
  <c r="N351" i="1"/>
  <c r="O607" i="1"/>
  <c r="O608" i="1" s="1"/>
  <c r="N344" i="1"/>
  <c r="Z14" i="2" l="1"/>
  <c r="Q21" i="2"/>
  <c r="Q19" i="2"/>
</calcChain>
</file>

<file path=xl/comments1.xml><?xml version="1.0" encoding="utf-8"?>
<comments xmlns="http://schemas.openxmlformats.org/spreadsheetml/2006/main">
  <authors>
    <author>test</author>
  </authors>
  <commentList>
    <comment ref="G127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ekspertyzy -1 mln
przywrocona kwota po zmianie p.przychodow w kasie</t>
        </r>
      </text>
    </comment>
    <comment ref="G146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miał rn -40 mln</t>
        </r>
      </text>
    </comment>
    <comment ref="I146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miał rn -40 mln</t>
        </r>
      </text>
    </comment>
    <comment ref="G157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zminiejszenie do kwoty z zalozen do planu</t>
        </r>
      </text>
    </comment>
    <comment ref="G166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zlecane -100mln</t>
        </r>
      </text>
    </comment>
    <comment ref="G184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miał migowy -1mln
ale przywrocone po zdjeciu z art..25 zgodnie z zalozeniami</t>
        </r>
      </text>
    </comment>
    <comment ref="G226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zgodnie z pismem MPiPS</t>
        </r>
      </text>
    </comment>
    <comment ref="G229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zgodnie z pismem MPiPS</t>
        </r>
      </text>
    </comment>
    <comment ref="G283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walec -30 mln</t>
        </r>
      </text>
    </comment>
    <comment ref="H283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walec -30 mln</t>
        </r>
      </text>
    </comment>
    <comment ref="I283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walec -30 mln</t>
        </r>
      </text>
    </comment>
    <comment ref="G302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-4 mln zwrot 32
</t>
        </r>
      </text>
    </comment>
    <comment ref="H302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-4 mln zwrot 32
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basi mail -4 mln zwrot 32
</t>
        </r>
      </text>
    </comment>
    <comment ref="E373" authorId="0">
      <text>
        <r>
          <rPr>
            <b/>
            <sz val="9"/>
            <color indexed="81"/>
            <rFont val="Tahoma"/>
            <family val="2"/>
            <charset val="238"/>
          </rPr>
          <t>test:</t>
        </r>
        <r>
          <rPr>
            <sz val="9"/>
            <color indexed="81"/>
            <rFont val="Tahoma"/>
            <family val="2"/>
            <charset val="238"/>
          </rPr>
          <t xml:space="preserve">
zgodnie z poleceniem dyr.. Kobielskiego wolne srodki zostały wrzucone w p.przychody. W memoriale w srodki pieniezne</t>
        </r>
      </text>
    </comment>
  </commentList>
</comments>
</file>

<file path=xl/sharedStrings.xml><?xml version="1.0" encoding="utf-8"?>
<sst xmlns="http://schemas.openxmlformats.org/spreadsheetml/2006/main" count="3480" uniqueCount="1145">
  <si>
    <t>Część...............................................................</t>
  </si>
  <si>
    <t>(nr, nazwa)</t>
  </si>
  <si>
    <t>Dział...............................................................</t>
  </si>
  <si>
    <t>Rozdział...........................................................</t>
  </si>
  <si>
    <t>Nazwa funduszu...........................................................</t>
  </si>
  <si>
    <t>PLAN FINANSOWY FUNDUSZU CELOWEGO</t>
  </si>
  <si>
    <t>Część A</t>
  </si>
  <si>
    <t>Lp.</t>
  </si>
  <si>
    <t>Treść</t>
  </si>
  <si>
    <t>w tysiącach złotych</t>
  </si>
  <si>
    <t>I.</t>
  </si>
  <si>
    <t>Zadania wynikające z ustawy tworzącej fundusz celowy</t>
  </si>
  <si>
    <t>- wydatki bieżące</t>
  </si>
  <si>
    <t>- wydatki inwestycyjne</t>
  </si>
  <si>
    <t>1.</t>
  </si>
  <si>
    <t>Realizacja działań wyrównujących różnice między regionami - art. 47 ust. 1 pkt 1</t>
  </si>
  <si>
    <t>1.1</t>
  </si>
  <si>
    <t>1.2</t>
  </si>
  <si>
    <t>2.</t>
  </si>
  <si>
    <t>Realizacja programów wspieranych ze środków pomocowych Unii Europejskiej - art. 47 ust. 1 pkt 2</t>
  </si>
  <si>
    <t>2.1</t>
  </si>
  <si>
    <t>dotacja</t>
  </si>
  <si>
    <t>3.</t>
  </si>
  <si>
    <t xml:space="preserve">Dofinansowanie do wynagrodzeń  pracowników niepełnosprawnych - art. 26a </t>
  </si>
  <si>
    <t>4.</t>
  </si>
  <si>
    <t>5.</t>
  </si>
  <si>
    <t>Finansowanie w części lub całości  badań, ekspertyz i analiz -  art. 47 ust. 1 pkt 4 lit.b</t>
  </si>
  <si>
    <t>5.1</t>
  </si>
  <si>
    <t>5.2</t>
  </si>
  <si>
    <t>6.</t>
  </si>
  <si>
    <t>Refundacja kosztów wydawania certyfikatów przez podmioty uprawnione do szkolenia psów asystujących art. 20b</t>
  </si>
  <si>
    <t>7.</t>
  </si>
  <si>
    <t xml:space="preserve">Programy zatwierdzone przez Radę Nadzorczą, służące rehabilitacji społecznej i zawodowej - art. 47 ust. 1 pkt 4 lit.a </t>
  </si>
  <si>
    <t>7.1</t>
  </si>
  <si>
    <t>7.2</t>
  </si>
  <si>
    <t>8.</t>
  </si>
  <si>
    <t>Dofinansowanie oprocentowania kredytów bankowych - art. 32 ust. 1 pkt 1</t>
  </si>
  <si>
    <t>8.1</t>
  </si>
  <si>
    <t>9.</t>
  </si>
  <si>
    <t>Zwrot kosztów budowy lub rozbudowy obiektów i pomieszczeń zakładu, transportowych i administracyjnych
 - art. 32 ust. 1 pkt 2</t>
  </si>
  <si>
    <t>9.1</t>
  </si>
  <si>
    <t>9.2</t>
  </si>
  <si>
    <t>10.</t>
  </si>
  <si>
    <t>Refundacja składek na ubezpieczenia społeczne - art. 25a</t>
  </si>
  <si>
    <t>11.</t>
  </si>
  <si>
    <t>Zadania zlecane  - art. 36</t>
  </si>
  <si>
    <t>11.1</t>
  </si>
  <si>
    <t>11.2</t>
  </si>
  <si>
    <t>12.</t>
  </si>
  <si>
    <t>Przelewy redystrybucyjne wymienione w części B pkt III ppkt 6</t>
  </si>
  <si>
    <t>13.</t>
  </si>
  <si>
    <t>Wydatki bieżące (własne), z tego:</t>
  </si>
  <si>
    <t>13.1</t>
  </si>
  <si>
    <t>- wynagrodzenia</t>
  </si>
  <si>
    <t>13.2</t>
  </si>
  <si>
    <t>- składki na ubezpieczenia społeczne</t>
  </si>
  <si>
    <t>13.3</t>
  </si>
  <si>
    <t>- składki na Fundusz Pracy</t>
  </si>
  <si>
    <t>13.4</t>
  </si>
  <si>
    <t>- wynagrodzenia bezosobowe</t>
  </si>
  <si>
    <t>13.5</t>
  </si>
  <si>
    <t>- pozostałe, w tym:</t>
  </si>
  <si>
    <t>13.5.1</t>
  </si>
  <si>
    <t>- zakup usług remontowych</t>
  </si>
  <si>
    <t>13.5.2</t>
  </si>
  <si>
    <t>- amortyzacja majątku trwałego</t>
  </si>
  <si>
    <t>13.6</t>
  </si>
  <si>
    <t>- odpis aktualizujący wartość należności z tytułu wpłat na PFRON, pożyczek, odsetek od pożyczek oraz innych należności</t>
  </si>
  <si>
    <t>14.</t>
  </si>
  <si>
    <t>Wydatki osobowe nie zaliczane do wynagrodzeń</t>
  </si>
  <si>
    <t>15.</t>
  </si>
  <si>
    <t>Wydatki inwestycyjne (własne) i zakupy inwestycyjne (własne)</t>
  </si>
  <si>
    <t>16.</t>
  </si>
  <si>
    <t>Zwrot dotacji wykorzystanych niezgodnie z przeznaczeniem lub pobranych w nadmiernej wysokości</t>
  </si>
  <si>
    <t>17.</t>
  </si>
  <si>
    <t xml:space="preserve">Dofinansowanie kosztów szkolenia, o których mowa w art. 18 ustawy o języku migowym i innych środkach komunikowania się - 
art. 47 ust 1 pkt. 4 lit. c </t>
  </si>
  <si>
    <t>17.1</t>
  </si>
  <si>
    <t>17.2</t>
  </si>
  <si>
    <t>Część B</t>
  </si>
  <si>
    <t>Paragrafy</t>
  </si>
  <si>
    <t>Stan funduszu na początek roku</t>
  </si>
  <si>
    <t>x</t>
  </si>
  <si>
    <t>w tym:</t>
  </si>
  <si>
    <t>Środki pieniężne (z lokatami)</t>
  </si>
  <si>
    <t>Udziały i akcje</t>
  </si>
  <si>
    <t>Papiery wartościowe Skarbu Państwa</t>
  </si>
  <si>
    <t>Należności, w tym:</t>
  </si>
  <si>
    <t>4.1</t>
  </si>
  <si>
    <t>- należności z tytułu wpłat obowiązkowych</t>
  </si>
  <si>
    <t>4.2</t>
  </si>
  <si>
    <t>- należności z tytułu udzielonych pożyczek</t>
  </si>
  <si>
    <t>Zobowiązania (minus), z tego:</t>
  </si>
  <si>
    <t>pozostałe</t>
  </si>
  <si>
    <t>5.1.1</t>
  </si>
  <si>
    <t>5.1.2</t>
  </si>
  <si>
    <t>w tym: wymagalne</t>
  </si>
  <si>
    <t>Wartości niematerialne i prawne</t>
  </si>
  <si>
    <t>Rzeczowe aktywa trwałe</t>
  </si>
  <si>
    <t>Rozliczenia międzyokresowe kosztów</t>
  </si>
  <si>
    <t>Rozliczenia międzyokresowe przychodów</t>
  </si>
  <si>
    <t>Rezerwy (minus)</t>
  </si>
  <si>
    <t>Fundusze specjalne (ZFŚS) (minus)</t>
  </si>
  <si>
    <t>II.</t>
  </si>
  <si>
    <t>Przychody</t>
  </si>
  <si>
    <t>Dotacje z budżetu państwa</t>
  </si>
  <si>
    <t>2007, 2430</t>
  </si>
  <si>
    <t xml:space="preserve">    - dotacja celowa na realizację programów finansowanych z udziałem środków UE</t>
  </si>
  <si>
    <t>2007</t>
  </si>
  <si>
    <t>2430</t>
  </si>
  <si>
    <t>procent Dotacji SOD</t>
  </si>
  <si>
    <t xml:space="preserve">    - dofinansowanie do wynagrodzeń pracowników niepełnosprawnych</t>
  </si>
  <si>
    <t>Środki otrzymane z Unii Europejskiej</t>
  </si>
  <si>
    <t>Składki i opłaty (wpłaty zakładów pracy)</t>
  </si>
  <si>
    <t xml:space="preserve"> 0850</t>
  </si>
  <si>
    <t>Przelewy redystrybucyjne (zwroty przez samorządy wojewódzkie i powiatowe środków niewykorzystanych
w poprzednim roku)</t>
  </si>
  <si>
    <t>2960</t>
  </si>
  <si>
    <t>przeliczone 0,1 i 0,5 zgodnie z info od iwony</t>
  </si>
  <si>
    <t>Pozostałe przychody (przypis)</t>
  </si>
  <si>
    <t>- dochody z najmu i dzierżawy składników majątkowych</t>
  </si>
  <si>
    <t>0750</t>
  </si>
  <si>
    <t>- wpływy ze sprzedaży składników majątkowych</t>
  </si>
  <si>
    <t>0870</t>
  </si>
  <si>
    <t>5.3</t>
  </si>
  <si>
    <t>- odsetki od nieterminowych wpłat zakładów pracy</t>
  </si>
  <si>
    <t>0910</t>
  </si>
  <si>
    <t>5.4</t>
  </si>
  <si>
    <t>- pozostałe odsetki</t>
  </si>
  <si>
    <t>0920</t>
  </si>
  <si>
    <t>5.5</t>
  </si>
  <si>
    <t>- otrzymane spadki, zapisy i darowizny w postaci pieniężnej</t>
  </si>
  <si>
    <t>0960</t>
  </si>
  <si>
    <t>5.6</t>
  </si>
  <si>
    <t>- wpływy z różnych tytułów</t>
  </si>
  <si>
    <t>0970</t>
  </si>
  <si>
    <t>5.7</t>
  </si>
  <si>
    <t>- wpływy ze zwrotów dotacji</t>
  </si>
  <si>
    <t>2910</t>
  </si>
  <si>
    <t>5.8</t>
  </si>
  <si>
    <t>- dywidendy i kwoty uzyskane ze zbycia praw majątkowych</t>
  </si>
  <si>
    <t>0740</t>
  </si>
  <si>
    <t>III.</t>
  </si>
  <si>
    <t>Wydatki</t>
  </si>
  <si>
    <t>Dotacje na realizację zadań bieżących</t>
  </si>
  <si>
    <t>Dotacje dla jednostek sektora finansów publicznych</t>
  </si>
  <si>
    <t>1.1.1</t>
  </si>
  <si>
    <t>- środki na zadania ustawowe (bez współfinansowania)</t>
  </si>
  <si>
    <t>2440</t>
  </si>
  <si>
    <t>1.1.2</t>
  </si>
  <si>
    <t>- środki na współfinansowanie programów i projektów realizowanych ze środków UE</t>
  </si>
  <si>
    <t>2449</t>
  </si>
  <si>
    <t>Pitagoras 2007</t>
  </si>
  <si>
    <t>Junior</t>
  </si>
  <si>
    <t>Osoby Niepełnosprawne w słuźbie publicznej</t>
  </si>
  <si>
    <t>Homer 2003</t>
  </si>
  <si>
    <t>Komputer dla Homera 2010</t>
  </si>
  <si>
    <t>Pegaz 2003</t>
  </si>
  <si>
    <t>Pegaz 2010</t>
  </si>
  <si>
    <t>Program Ograniczania Skutków Niepełnosprawności</t>
  </si>
  <si>
    <t>Ośrodki Informacji dla Osób Niepełnosprawnych</t>
  </si>
  <si>
    <t>Partner</t>
  </si>
  <si>
    <t>Sprawny Dojazd</t>
  </si>
  <si>
    <t>Trener Pracy</t>
  </si>
  <si>
    <t>Student II</t>
  </si>
  <si>
    <t>Edukacja</t>
  </si>
  <si>
    <t>Uczeń Na Wsi</t>
  </si>
  <si>
    <t>Wsparcie Inicjatyw</t>
  </si>
  <si>
    <t>Aktywny Samorząd</t>
  </si>
  <si>
    <t>Wczesna Pomoc Dziecku Niepełnosprawnemu</t>
  </si>
  <si>
    <t>Inne programy</t>
  </si>
  <si>
    <t>Dotacje dla jednostek niezaliczanych do sektora finansów publicznych</t>
  </si>
  <si>
    <t>1.2.1</t>
  </si>
  <si>
    <t>2450</t>
  </si>
  <si>
    <t>1.2.2</t>
  </si>
  <si>
    <t>2459</t>
  </si>
  <si>
    <t>refundacja dla pracodawców składek ZUS art. 25a</t>
  </si>
  <si>
    <t>refundacja składek ZUS - ONG art. 25a</t>
  </si>
  <si>
    <t>refundacja składek ZUS - RNP art. 25a</t>
  </si>
  <si>
    <t>-- refundacja kosztów wydawania certyfikatów przez podmioty uprawnione do szkolenia psów asystujących art. 20b</t>
  </si>
  <si>
    <t>Telepraca</t>
  </si>
  <si>
    <t>Program Wsparcia Międzynarodowych Imprez Sportowych dla Osób Niepełnosprawnych organizowanych na terenie Polski</t>
  </si>
  <si>
    <t>Wsparcie dla Biblioteki Centralnej PZN</t>
  </si>
  <si>
    <t xml:space="preserve">Inne programy </t>
  </si>
  <si>
    <t>-- umorzenia pożyczek</t>
  </si>
  <si>
    <t>Transfery na rzecz ludności</t>
  </si>
  <si>
    <t>- różne wydatki na rzecz osób fizycznych (bez współfinansowania)</t>
  </si>
  <si>
    <t>3030</t>
  </si>
  <si>
    <t>Student</t>
  </si>
  <si>
    <t>Uczeń na wsi</t>
  </si>
  <si>
    <t>SPORT</t>
  </si>
  <si>
    <t>2.2</t>
  </si>
  <si>
    <t>- wydatki osobowe nie zaliczone do wynagrodzeń</t>
  </si>
  <si>
    <t>3020</t>
  </si>
  <si>
    <t>-- wydatki osobowe nie zaliczone do wynagrodzeń (środki bez współfinansowania)</t>
  </si>
  <si>
    <t>Środki z Unii Europejskiej</t>
  </si>
  <si>
    <t>- dla jednostek sektora finansów publicznych</t>
  </si>
  <si>
    <t>2447</t>
  </si>
  <si>
    <t>- dla jednostek niezaliczanych do sektora finansów publicznych</t>
  </si>
  <si>
    <t>2457</t>
  </si>
  <si>
    <t>Wydatki bieżące (własne)</t>
  </si>
  <si>
    <t>Wynagrodzenia, z tego:</t>
  </si>
  <si>
    <t>4.1.1</t>
  </si>
  <si>
    <t>Wynagrodzenia osobowe</t>
  </si>
  <si>
    <t>4010</t>
  </si>
  <si>
    <t>4.1.2</t>
  </si>
  <si>
    <t>Wynagrodzenia bezosobowe</t>
  </si>
  <si>
    <t>4170</t>
  </si>
  <si>
    <t>4.3</t>
  </si>
  <si>
    <t>Składki na ubezpieczenia społeczne</t>
  </si>
  <si>
    <t>4110</t>
  </si>
  <si>
    <t>4.4</t>
  </si>
  <si>
    <t>Składki na Fundusz Pracy</t>
  </si>
  <si>
    <t>4120</t>
  </si>
  <si>
    <t>4.5</t>
  </si>
  <si>
    <t>Pozostałe</t>
  </si>
  <si>
    <t>4.5.1</t>
  </si>
  <si>
    <t xml:space="preserve">  - zakup usług</t>
  </si>
  <si>
    <t>4210-4400</t>
  </si>
  <si>
    <t>- zakup materiałów i wyposażenia</t>
  </si>
  <si>
    <t>4210</t>
  </si>
  <si>
    <t>- zakup energii</t>
  </si>
  <si>
    <t>4260</t>
  </si>
  <si>
    <t>4270</t>
  </si>
  <si>
    <t>- zakup usług zdrowotnych</t>
  </si>
  <si>
    <t>4280</t>
  </si>
  <si>
    <t>- pozostałe usługi obce</t>
  </si>
  <si>
    <t>4300</t>
  </si>
  <si>
    <t>- zakup usług dostępu do sieci Internet</t>
  </si>
  <si>
    <t>4350</t>
  </si>
  <si>
    <t>- usługi telekomunikacyjne - telefonia komórkowa</t>
  </si>
  <si>
    <t>4360</t>
  </si>
  <si>
    <t>- usługi telekomunikacyjne - telefonia stacjonarna</t>
  </si>
  <si>
    <t>- zakup usług obejmujących tłumaczenia</t>
  </si>
  <si>
    <t>4380</t>
  </si>
  <si>
    <t>- czynsze za pomieszczenia biurowe</t>
  </si>
  <si>
    <t>4400</t>
  </si>
  <si>
    <t>4.5.2</t>
  </si>
  <si>
    <t xml:space="preserve">  - pozostałe koszty</t>
  </si>
  <si>
    <t xml:space="preserve">  --- pozostałe koszty i opłaty</t>
  </si>
  <si>
    <t>4410-4610</t>
  </si>
  <si>
    <t>--- podróże służbowe krajowe</t>
  </si>
  <si>
    <t>4410</t>
  </si>
  <si>
    <t>--- podróże służbowe zagraniczne</t>
  </si>
  <si>
    <t>4420</t>
  </si>
  <si>
    <t>- różne opłaty i składki</t>
  </si>
  <si>
    <t>4430</t>
  </si>
  <si>
    <t>- odpisy na zakładowy fundusz świadczeń socjalnych</t>
  </si>
  <si>
    <t>4440</t>
  </si>
  <si>
    <t>- podatek od nieruchomości</t>
  </si>
  <si>
    <t>4480</t>
  </si>
  <si>
    <t>- pozostałe podatki na rzecz budżetu państwa</t>
  </si>
  <si>
    <t>4490</t>
  </si>
  <si>
    <t>- pozostałe podatki na rzecz budżetów jednostek samorządowych</t>
  </si>
  <si>
    <t>4500</t>
  </si>
  <si>
    <t>- opłaty na rzecz budżetu państwa (opłata z tytułu wieczystego użytkowania gruntu)</t>
  </si>
  <si>
    <t>4510</t>
  </si>
  <si>
    <t>- odsetki od nieterminowych wpłat z tytułu podatków i opłat</t>
  </si>
  <si>
    <t>4570</t>
  </si>
  <si>
    <t>4580</t>
  </si>
  <si>
    <t>- kary i odzszkodowania wypłacone na rzecz osób fizycznych</t>
  </si>
  <si>
    <t>4590</t>
  </si>
  <si>
    <t>- kary i odzszkodowania wypłacone na rzecz osób prawnych i innych jednosek</t>
  </si>
  <si>
    <t>4600</t>
  </si>
  <si>
    <t>- koszty postępowania sądowego i prokuratorskiego</t>
  </si>
  <si>
    <t>4610</t>
  </si>
  <si>
    <t>4720</t>
  </si>
  <si>
    <t>4.6</t>
  </si>
  <si>
    <t>Odpis aktualizujący wartość należności z tytułu wpłat na PFRON, pożyczek, odsetek od pożyczek oraz innych należności</t>
  </si>
  <si>
    <t>4810</t>
  </si>
  <si>
    <t>Wydatki inwestycyjne</t>
  </si>
  <si>
    <t>Wydatki inwestycyjne (własne) i wydatki na zakupy inwestycyjne (własne)</t>
  </si>
  <si>
    <t>6110, 6120</t>
  </si>
  <si>
    <t>- Wydatki inwestycyjna (własne)</t>
  </si>
  <si>
    <t>- Zakupy inwestycyjne (własne)</t>
  </si>
  <si>
    <t>-- środki na zadania ustawowe (bez współfinansowania)</t>
  </si>
  <si>
    <t>6120</t>
  </si>
  <si>
    <t>Dotacje inwestycyjne</t>
  </si>
  <si>
    <t>5.2.1</t>
  </si>
  <si>
    <t>-dla sektora finansów publicznych</t>
  </si>
  <si>
    <t>6260</t>
  </si>
  <si>
    <t>Pitagoras</t>
  </si>
  <si>
    <t>Osoby Niepełnosprawne w Słuzbie Publicznej</t>
  </si>
  <si>
    <t>5.2.2</t>
  </si>
  <si>
    <t>-dla jednostek niezaliczanych do sektora finansów publicznych</t>
  </si>
  <si>
    <t>6270</t>
  </si>
  <si>
    <t>zwroty niewykorzyst</t>
  </si>
  <si>
    <t>Wsparcie Ośrodka Szkolno-Wychowawczego dla Dzieci Niewidomych w Laskach</t>
  </si>
  <si>
    <t>pow</t>
  </si>
  <si>
    <t>woj.</t>
  </si>
  <si>
    <t>Przelewy redystrybucyjne</t>
  </si>
  <si>
    <t>z tego dla :</t>
  </si>
  <si>
    <t xml:space="preserve">- samorządów wojewódzkich na realizację zadań </t>
  </si>
  <si>
    <t xml:space="preserve">- samorządów wojewódzkich na pokrycie kosztów obsługi realizowanych zadań </t>
  </si>
  <si>
    <t>- samorządów powiatowych na realizację zadań</t>
  </si>
  <si>
    <t>koszty sam.</t>
  </si>
  <si>
    <t xml:space="preserve">- samorządów powiatowych na pokrycie kosztów obsługi realizowanychzadań </t>
  </si>
  <si>
    <t>z tego:</t>
  </si>
  <si>
    <t>- zwrot dotacji wykorzystanych niezgodnie z przeznaczeniem lub pobranych w nadmiernej wysokości</t>
  </si>
  <si>
    <t>Naleznosci WWO+WSP+DK</t>
  </si>
  <si>
    <t>- zwrot dotacji wykorzystanych niezgodnie z przeznaczeniem lub pobranych w nadmiernej wysokości - UE</t>
  </si>
  <si>
    <t>2917</t>
  </si>
  <si>
    <t>STANY</t>
  </si>
  <si>
    <t>IV.</t>
  </si>
  <si>
    <t>Stan funduszu na koniec roku (I+II-III) *)</t>
  </si>
  <si>
    <t>pozostałe:</t>
  </si>
  <si>
    <t>Część D Dane w układzie kasowym</t>
  </si>
  <si>
    <t>Wpływy</t>
  </si>
  <si>
    <t>1.3</t>
  </si>
  <si>
    <t xml:space="preserve">    - na finansowanie składek na ubezpieczenia społeczne</t>
  </si>
  <si>
    <t>Wypływy</t>
  </si>
  <si>
    <t xml:space="preserve">Powódź 2010 </t>
  </si>
  <si>
    <t xml:space="preserve">  --- inne  koszty i opłaty</t>
  </si>
  <si>
    <t>Część C Dane uzupełniające</t>
  </si>
  <si>
    <t>Zobowiązanie
wg wartości nominalnej</t>
  </si>
  <si>
    <t>papiery wartościowe</t>
  </si>
  <si>
    <t>Kredyty i pożyczki, w tym zaciągnięte od:</t>
  </si>
  <si>
    <t>sektora finansów publicznych</t>
  </si>
  <si>
    <t>-pozostałych</t>
  </si>
  <si>
    <t>1.4</t>
  </si>
  <si>
    <t>Depozyty</t>
  </si>
  <si>
    <t>1.5</t>
  </si>
  <si>
    <t>zobowiązania wymagalne</t>
  </si>
  <si>
    <t>Część D Dane uzupełniające</t>
  </si>
  <si>
    <t>1</t>
  </si>
  <si>
    <t>Wolne środki finansowe przekazane w zarządzanie lub depozyt u Ministra Finansów</t>
  </si>
  <si>
    <t>- depozyty overnight (O/N)</t>
  </si>
  <si>
    <t>KASOWO MA BYĆ</t>
  </si>
  <si>
    <t>- depozyty terminowe</t>
  </si>
  <si>
    <t>Stan funduszu na koniec 2011 roku powiększają wydatki inwestycyjne własne i zakupy inwestycyjne własne w kwocie  tys. zł.</t>
  </si>
  <si>
    <t>Stan funduszu na koniec 2012 roku powiększają wydatki inwestycyjne własne i zakupy inwestycyjne własne w kwocie   tys. zł.</t>
  </si>
  <si>
    <t>Stan funduszu na koniec 2013 roku powiększają wydatki inwestycyjne własne i zakupy inwestycyjne własne w kwocie   tys. zł.</t>
  </si>
  <si>
    <t>Stan funduszu na koniec 2014 roku powiększają wydatki inwestycyjne własne i zakupy inwestycyjne własne w kwocie   tys. zł.</t>
  </si>
  <si>
    <t>Stan funduszu na koniec 2015 roku powiększają wydatki inwestycyjne własne i zakupy inwestycyjne własne w kwocie   tys. zł.</t>
  </si>
  <si>
    <t>sporządził  .......................................................................................................................................</t>
  </si>
  <si>
    <t>(imię i nazwisko, stanowisko służbowe)</t>
  </si>
  <si>
    <t>nr telefonu...........................................................    adres e-mail..........................................................</t>
  </si>
  <si>
    <t>data....................................................................     podpis...............................................................</t>
  </si>
  <si>
    <t>PFC</t>
  </si>
  <si>
    <t>PROJEKT PLANU FINANSOWEGO PAŃSWOWEGO FUNDUSZU CELOWEGO Z DODATKOWYMI INFORMACJAMI UZUPEŁNIAJĄCYMI</t>
  </si>
  <si>
    <t xml:space="preserve">Realizacja programów wspieranych ze środków pomocowych Unii Europejskiej - art. 47 ust. 1 pkt 2 </t>
  </si>
  <si>
    <t>8.1.</t>
  </si>
  <si>
    <t>- wynagrodzenia osobowe</t>
  </si>
  <si>
    <t xml:space="preserve">  - remonty</t>
  </si>
  <si>
    <t xml:space="preserve">  - pozostałe, z tego:</t>
  </si>
  <si>
    <t>13.6.1</t>
  </si>
  <si>
    <t xml:space="preserve">  - amortyzacja (umorzenia)</t>
  </si>
  <si>
    <t>13.6.2</t>
  </si>
  <si>
    <t xml:space="preserve">  - inne</t>
  </si>
  <si>
    <t>13.7</t>
  </si>
  <si>
    <t>Część B Plan finansowy w układzie memoriałowym</t>
  </si>
  <si>
    <t>5</t>
  </si>
  <si>
    <t>8</t>
  </si>
  <si>
    <t>Środki pieniężne</t>
  </si>
  <si>
    <t xml:space="preserve">   - należności z tytułu wpłat obowiązkowych</t>
  </si>
  <si>
    <t xml:space="preserve">   - należności z tytułu udzielonych pożyczek</t>
  </si>
  <si>
    <t>Zobowiązania, z tego:</t>
  </si>
  <si>
    <t>3.1</t>
  </si>
  <si>
    <t>3.1.1</t>
  </si>
  <si>
    <t xml:space="preserve">Przychody </t>
  </si>
  <si>
    <t>Dotacje z budżetu państwa, z tego:</t>
  </si>
  <si>
    <t xml:space="preserve">    - dla państwowego funduszu celowego</t>
  </si>
  <si>
    <t xml:space="preserve">  - zrekompensowanie gminom dochodów utraconych z tytułu zastosowania ustawowych zwolnień dla prowadzacych
     zakłady pracy chronionej lub zakłady aktywności zawodowej z podatku od nieruchomości, rolnego,leśnego
     i od czynności cywilnoprawnych - art. 47 ust. 2</t>
  </si>
  <si>
    <t>Składki i opłaty</t>
  </si>
  <si>
    <t xml:space="preserve">Przelewy redystrybucyjne </t>
  </si>
  <si>
    <t>Pozostałe przychody</t>
  </si>
  <si>
    <t>w tym: odsetki</t>
  </si>
  <si>
    <t>2910-2919</t>
  </si>
  <si>
    <t xml:space="preserve">Koszty realizacji zadań </t>
  </si>
  <si>
    <t>dotacje dla jednostek sektora finansów publicznych</t>
  </si>
  <si>
    <t xml:space="preserve">   - środki na zadania ustawowe (bez współfinansowania)</t>
  </si>
  <si>
    <t xml:space="preserve">   - środki na współfinansowanie programów i projektów realizowanych ze środków UE</t>
  </si>
  <si>
    <t>-- realizacja programów wspieranych ze środków pomocowych UE art. 47 ust. 1 pkt 2</t>
  </si>
  <si>
    <t>-- realizacja działań wyrównujących różnice między regionami art. 47 ust. 1 pkt 1</t>
  </si>
  <si>
    <t>-- zrekompensowanie gminom dochodów utraconych z tytułu zastosowania ustawowych zwolnień 
dla prowadzacych zpch lub zaz z podatku rolnego,leśnego od nieruchomości i od czynności cywilnoprawnych
 - art. 47 ust. 2</t>
  </si>
  <si>
    <t>-- dofinansowanie badań, ekspertyz, analiz  art. 47 ust. 1 pkt 4 lit.b</t>
  </si>
  <si>
    <t>-- zadania zlecane art.. 36</t>
  </si>
  <si>
    <t xml:space="preserve">-- programy zatwierdzone przez Radę Nadzorczą, służące rehabilitacji społecznej, zawodowej i leczniczej
art. 47 ust. 1 pkt 4 lit.a </t>
  </si>
  <si>
    <t>Program zatrudnienia w sektorze publicznym</t>
  </si>
  <si>
    <t>Homer 2010</t>
  </si>
  <si>
    <t xml:space="preserve">Wczesna Pomoc Dziecku Niepełnosprawnemu </t>
  </si>
  <si>
    <t>dotacje dla jednostek niezaliczanych do sektora finansów publicznych</t>
  </si>
  <si>
    <t>-- refundacja składek na ubezpieczenia społeczne (art. 25a)</t>
  </si>
  <si>
    <t xml:space="preserve">   --- dofinansowanie oprocentowania kredytów bankowych - art. 32 ust. 1 pkt 1, </t>
  </si>
  <si>
    <t xml:space="preserve">   --- zwrot kosztów budowy lub rozbudowy obiektów i pomieszczeń zakładów, transportowych i administracyjnych
       - art. 32 ust. 1 pkt 2</t>
  </si>
  <si>
    <t xml:space="preserve">-- dofinansowanie do wynagrodzeń  pracowników niepełnosprawnych art. 26a </t>
  </si>
  <si>
    <t>-- zadania zlecane art.36</t>
  </si>
  <si>
    <t>-- programy zatwierdzone przez Radę Nadzorczą, służące rehabilitacji społecznej, zawodowej i leczniczej
art. 47 ust. 1 pkt 4 lit.a</t>
  </si>
  <si>
    <t>Program Wsparcia Międzynarodowych Imprez Sportowych dla Osób Niepełnosprawnych 
organizowanych na terenie Polski</t>
  </si>
  <si>
    <t>Biblioteka PZn</t>
  </si>
  <si>
    <t>Transfery na rzecz ludności, z tego na:</t>
  </si>
  <si>
    <t xml:space="preserve">   - dofinansowanie kosztów szkolenia, o których mowa w art. 18 ustawy o języku migowym i innych środkach 
     komunikowania się - art. 47 ust 1 pkt. 4 lit. c </t>
  </si>
  <si>
    <t xml:space="preserve">   - różne wydatki na rzecz osób fizycznych </t>
  </si>
  <si>
    <t>homer 2010</t>
  </si>
  <si>
    <t>pegaz 2010</t>
  </si>
  <si>
    <t>-- umorzenia pożyczek art. 47 ust. 1 pkt 4 lit.a</t>
  </si>
  <si>
    <t xml:space="preserve">   - wydatki osobowe nie zaliczone do wynagrodzeń</t>
  </si>
  <si>
    <t>Koszty własne</t>
  </si>
  <si>
    <t>wynagrodzenia, z tego:</t>
  </si>
  <si>
    <t xml:space="preserve">   - osobowe</t>
  </si>
  <si>
    <t xml:space="preserve">   - bezosobowe</t>
  </si>
  <si>
    <t xml:space="preserve">   - wynagrodzenia</t>
  </si>
  <si>
    <t>4010-4100</t>
  </si>
  <si>
    <t>4010 i 4100</t>
  </si>
  <si>
    <t>składki na ubezpieczenia społeczne</t>
  </si>
  <si>
    <t>4.2.1</t>
  </si>
  <si>
    <t>składki na Fundusz Pracy</t>
  </si>
  <si>
    <t>4.3.1</t>
  </si>
  <si>
    <t xml:space="preserve">   - wynagrodzenia bezosobowe</t>
  </si>
  <si>
    <t>4.4.1</t>
  </si>
  <si>
    <t xml:space="preserve">   -  remonty</t>
  </si>
  <si>
    <t>pozostałe, z tego:</t>
  </si>
  <si>
    <t>- zakupy maeriałów i energii</t>
  </si>
  <si>
    <t>---- środki na zadania ustawowe (bez współfinansowania)</t>
  </si>
  <si>
    <t>--- zakup energii</t>
  </si>
  <si>
    <t>--- zakup usług zdrowotnych</t>
  </si>
  <si>
    <t>- pozostałe podatki na rzecz budżetu państwa i budżetów jednostek samorządowych</t>
  </si>
  <si>
    <t>4490-4500</t>
  </si>
  <si>
    <t>- kary i odzszkodowania OF</t>
  </si>
  <si>
    <t>- kary i odzszkodowania</t>
  </si>
  <si>
    <t xml:space="preserve">   - amortyzacja (umorzenia)</t>
  </si>
  <si>
    <t>- zakupy materiałów papierniczych do sprzętu drukarskiego i urządzeń kserograficznych</t>
  </si>
  <si>
    <t>-- środki na współfinansowanie programów i projektów realizowanych ze środków UE</t>
  </si>
  <si>
    <t>- zakup akcesoriów komputerowych, w tym programów i licencji</t>
  </si>
  <si>
    <t xml:space="preserve">   - inne</t>
  </si>
  <si>
    <t>Koszty inwestycyjne, w tym:</t>
  </si>
  <si>
    <t>- wydatki inwestycyjne i wydatki na zakupy inwestycyjne</t>
  </si>
  <si>
    <t>6110-6120</t>
  </si>
  <si>
    <t xml:space="preserve">   - dotacje inwestycyjne</t>
  </si>
  <si>
    <t>6260-6270</t>
  </si>
  <si>
    <t xml:space="preserve">   -dla sektora finansów publicznych</t>
  </si>
  <si>
    <t>--- realizacja działań wyrównujących różnice między regionami art. 47 ust. 1 pkt 1</t>
  </si>
  <si>
    <t>--- dofinansowanie badań, ekspertyz, analiz art. 47 ust. 1 pkt 4 lit.b</t>
  </si>
  <si>
    <t>--- programy zatwierdzone przez Radę Nadzorczą, służące rehabilitacji społecznej, zawodowej i leczniczej
art. 47 ust. 1 pkt 4 lit.a</t>
  </si>
  <si>
    <t xml:space="preserve">   -dla jednostek niezaliczanych do sektora finansów publicznych</t>
  </si>
  <si>
    <t>--Dofinansowanie oprocentowania kredytów bankowych - art. 32 ust. 1 pkt 1,
Zwrot kosztów budowy lub rozbudowy obiektów i pomieszczeń zakładów, transportowych i administracyjnych - art. 32 ust. 1 pkt 2</t>
  </si>
  <si>
    <t>Wsparcie Ośrodka Szkolno-Wychowawczego w Laskach</t>
  </si>
  <si>
    <t>Przelewy redystrybucyjne, z tego na:</t>
  </si>
  <si>
    <t>6.1</t>
  </si>
  <si>
    <t xml:space="preserve">   - samorządów wojewódzkich na realizację zadań </t>
  </si>
  <si>
    <t>6.2</t>
  </si>
  <si>
    <t xml:space="preserve">   - samorządów wojewódzkich na pokrycie kosztów obsługi realizowanych zadań </t>
  </si>
  <si>
    <t>6.3</t>
  </si>
  <si>
    <t xml:space="preserve">   - samorządów powiatowych na realizację zadań</t>
  </si>
  <si>
    <t>6.4</t>
  </si>
  <si>
    <t xml:space="preserve">   - samorządów powiatowych na pokrycie kosztów obsługi realizowanych zadań </t>
  </si>
  <si>
    <t>Stan funduszu na koniec roku (I+II-III) #)</t>
  </si>
  <si>
    <t xml:space="preserve"> - należności z tytułu wpłat obowiązkowych</t>
  </si>
  <si>
    <t xml:space="preserve"> - należności z tytułu udzielonych pożyczek</t>
  </si>
  <si>
    <t>Część C Dane w układzie kasowym</t>
  </si>
  <si>
    <t>Pozostałe wpływy</t>
  </si>
  <si>
    <t xml:space="preserve">Dofinansowanie kosztów szkolenia, o których mowa w art. 18 ustawy o języku migowym i innych środkach komunikowania się - art. 47 ust 1 pkt. 4 lit. c </t>
  </si>
  <si>
    <t xml:space="preserve">- różne wydatki na rzecz osób fizycznych </t>
  </si>
  <si>
    <t>3027</t>
  </si>
  <si>
    <t>Wynagrodzenia</t>
  </si>
  <si>
    <t>4017</t>
  </si>
  <si>
    <t>4117</t>
  </si>
  <si>
    <t>4127</t>
  </si>
  <si>
    <t>4177</t>
  </si>
  <si>
    <t>4217</t>
  </si>
  <si>
    <t>- zakup usług pozostałych</t>
  </si>
  <si>
    <t>4307</t>
  </si>
  <si>
    <t>4357</t>
  </si>
  <si>
    <t>4377</t>
  </si>
  <si>
    <t>4387</t>
  </si>
  <si>
    <t>- czynsz</t>
  </si>
  <si>
    <t>4407</t>
  </si>
  <si>
    <t>- podróże służbowe krajowe</t>
  </si>
  <si>
    <t>4417</t>
  </si>
  <si>
    <t>- podróże służbowe zagraniczne</t>
  </si>
  <si>
    <t>4427</t>
  </si>
  <si>
    <t>4727</t>
  </si>
  <si>
    <t>4747</t>
  </si>
  <si>
    <t>4757</t>
  </si>
  <si>
    <t>Zakupy inwestycyjne (własne)</t>
  </si>
  <si>
    <t>6127</t>
  </si>
  <si>
    <t>6267</t>
  </si>
  <si>
    <t>6277</t>
  </si>
  <si>
    <t>- osobowe</t>
  </si>
  <si>
    <t>- bezosobowe</t>
  </si>
  <si>
    <t>--- zakupy materiałów i energii</t>
  </si>
  <si>
    <t>4210-4260</t>
  </si>
  <si>
    <t>4410-4720</t>
  </si>
  <si>
    <t xml:space="preserve">   -  inne</t>
  </si>
  <si>
    <t>Wydatki inwestycyjne, w tym:</t>
  </si>
  <si>
    <t>6129</t>
  </si>
  <si>
    <t>- dotacje inwestycyjne</t>
  </si>
  <si>
    <t>6269</t>
  </si>
  <si>
    <t>--- realizacja programów wspieranych ze środków pomocowych UE art. 47 ust. 1 pkt 2</t>
  </si>
  <si>
    <t>6279</t>
  </si>
  <si>
    <t>Część E Dane uzupełniające</t>
  </si>
  <si>
    <t>Wyszczególnienie</t>
  </si>
  <si>
    <t>Zobowiązania
 wg wartości nominalnej</t>
  </si>
  <si>
    <t xml:space="preserve"> Papiery wartościowe</t>
  </si>
  <si>
    <t xml:space="preserve"> Kredyty i pożyczki, w tym zaciągnięte od:</t>
  </si>
  <si>
    <t xml:space="preserve"> - sektora finansów publicznych</t>
  </si>
  <si>
    <t xml:space="preserve"> - pozostałych</t>
  </si>
  <si>
    <t xml:space="preserve"> Depozyty</t>
  </si>
  <si>
    <t xml:space="preserve"> Zobowiązania wymagalne</t>
  </si>
  <si>
    <t>Część F Dane uzupełniające</t>
  </si>
  <si>
    <t>Wolne środki finansowe przekazane w zarządzanie lub depozyt 
u Ministra Finansów</t>
  </si>
  <si>
    <t>#)</t>
  </si>
  <si>
    <t>Stan funduszu na koniec 2011 roku powiększają wydatki inwestycyjne własne i zakupy inwestycyjne własne w kwocie  tys. 40.011 zł.</t>
  </si>
  <si>
    <t>Stan funduszu na koniec 2012 roku powiększają wydatki inwestycyjne własne i zakupy inwestycyjne własne w kwocie 41.635 tys. zł.</t>
  </si>
  <si>
    <t>tys. zł</t>
  </si>
  <si>
    <t>*) Projekt Planu na 2011 rok opracowany przy uwzględnieniu dotacji budżetowej celowej na poziomie 30% środków przeznaczonych na realizację zadania dofinansowania do wynagrodzeń pracowników niepełnosprawnych</t>
  </si>
  <si>
    <t>**) Projekt Planu na 2012 rok opracowany przy uwzględnieniu dotacji budżetowej celowej na poziomie 55% środków przeznaczonych na realizację zadania dofinansowania do wynagrodzeń pracowników niepełnosprawnych</t>
  </si>
  <si>
    <t>***) Projekt Planu na 2013 rok opracowany przy uwzględnieniu dotacji budżetowej celowej na poziomie 55% środków przeznaczonych na realizację zadania dofinansowania do wynagrodzeń pracowników niepełnosprawnych</t>
  </si>
  <si>
    <t>****) Projekt Planu na 2014 rok opracowany przy uwzględnieniu dotacji budżetowej celowej na poziomie 55% środków przeznaczonych na realizację zadania dofinansowania do wynagrodzeń pracowników niepełnosprawnych</t>
  </si>
  <si>
    <t>Stan funduszu na koniec 2016 roku powiększają wydatki inwestycyjne własne i zakupy inwestycyjne własne w kwocie</t>
  </si>
  <si>
    <t>Stan funduszu na koniec 2017 roku powiększają wydatki inwestycyjne własne i zakupy inwestycyjne własne w kwocie</t>
  </si>
  <si>
    <t>data  ……………………..…            podpis ………………………………</t>
  </si>
  <si>
    <t>Projekt planu na 2009 rok</t>
  </si>
  <si>
    <t>Państwowego Funduszu Rehabilitacji Osób Niepełnosprawnych</t>
  </si>
  <si>
    <t>L.p.</t>
  </si>
  <si>
    <t>Tytuł</t>
  </si>
  <si>
    <t>Struktura
wydatków
2012 r.
%</t>
  </si>
  <si>
    <t>I</t>
  </si>
  <si>
    <t>- środki na zadania ustawowe (§ xxx0)</t>
  </si>
  <si>
    <t>- finansowanie ze środków UE (§ xxx7)</t>
  </si>
  <si>
    <t>- współfinansowanie (§ xxx9)</t>
  </si>
  <si>
    <t>A)</t>
  </si>
  <si>
    <t>Samorządy wojewódzkie</t>
  </si>
  <si>
    <t>- na realizację zadań</t>
  </si>
  <si>
    <t>- na pokrycie kosztów obsługi realizowanych zadań</t>
  </si>
  <si>
    <t>B)</t>
  </si>
  <si>
    <t>Samorządy powiatowe</t>
  </si>
  <si>
    <t>C)</t>
  </si>
  <si>
    <t>Biuro i Oddziały PFRON</t>
  </si>
  <si>
    <t>C-1</t>
  </si>
  <si>
    <t>Zadania ustawowe</t>
  </si>
  <si>
    <t>a)</t>
  </si>
  <si>
    <t>realizacja działań wyrównujących różnice między regionami art. 47 ust. 1 pkt 1</t>
  </si>
  <si>
    <t>b)</t>
  </si>
  <si>
    <t>realizacja programów wspieranych za środków pomocowych UE art. 47 ust. 1 pkt 2</t>
  </si>
  <si>
    <t>d)</t>
  </si>
  <si>
    <t>dofinansowanie rekompensaty dla gmin art. 47 ust. 2</t>
  </si>
  <si>
    <t>e)</t>
  </si>
  <si>
    <t>refundacja kosztów wydawania certyfikatów przez podmioty uprawnione do szkolenia
psów asystujących art. 20b</t>
  </si>
  <si>
    <t>f)</t>
  </si>
  <si>
    <t>g)</t>
  </si>
  <si>
    <t>zadania zlecane art. 36</t>
  </si>
  <si>
    <t>Dofinansowanie do oprocentowania kredytów bankowych - art. 32 ust. 1 pkt 1</t>
  </si>
  <si>
    <t>h)</t>
  </si>
  <si>
    <t>Zwrot kosztów budowy lub rozbudowy obiektów i pomieszczeń zakładu, transportowych i administracyjnych - art. 32 ust. 1 pkt 2</t>
  </si>
  <si>
    <t>i)</t>
  </si>
  <si>
    <t>dofinansowanie do wynagrodzeń pracowników niepełnosprawnych art. 26a</t>
  </si>
  <si>
    <t>-  dotacja budżetowa</t>
  </si>
  <si>
    <t>- środki własne</t>
  </si>
  <si>
    <t xml:space="preserve">Dofinansowanie kosztów szkolenia, o których mowa w art. 18 ustawy o języku migowym 
i innych środkach komunikowania się - art. 47 ust 1 pkt. 4 lit. c </t>
  </si>
  <si>
    <t>j)</t>
  </si>
  <si>
    <t>dofinansowanie badań, ekspertyz, analiz art. 47 ust. 1 pkt 4 lit.b</t>
  </si>
  <si>
    <t>C-2</t>
  </si>
  <si>
    <t xml:space="preserve">"Junior" </t>
  </si>
  <si>
    <t>c)</t>
  </si>
  <si>
    <t>"Komputer dla Homera 2010"</t>
  </si>
  <si>
    <t>"Student II"</t>
  </si>
  <si>
    <t xml:space="preserve">"Pegaz 2003" </t>
  </si>
  <si>
    <t xml:space="preserve">"Pegaz 2010" </t>
  </si>
  <si>
    <t>"Pitagoras 2007"</t>
  </si>
  <si>
    <t>m)</t>
  </si>
  <si>
    <t>"Aktywny Samorząd"</t>
  </si>
  <si>
    <t>o)</t>
  </si>
  <si>
    <t>"Wsparcie Inicjatyw"</t>
  </si>
  <si>
    <t>r)</t>
  </si>
  <si>
    <t>q)</t>
  </si>
  <si>
    <t>Wydatki osobowe nie zaliczane do wynagrodzeń §302</t>
  </si>
  <si>
    <t xml:space="preserve"> </t>
  </si>
  <si>
    <t>Wydatki bieżące własne § 401 - 481</t>
  </si>
  <si>
    <t>Zwrot dotacji wykorzystanych niezgodnie z przeznaczeniem lub pobranych w nadmiernej wysokości § 2910 i 2917</t>
  </si>
  <si>
    <t>z tego: - wydatki inwestycyjne (inwestycje rozpoczęte) § 6110</t>
  </si>
  <si>
    <t xml:space="preserve">  </t>
  </si>
  <si>
    <t xml:space="preserve">           - zakupy inwestycyjne § 612</t>
  </si>
  <si>
    <t>Projekt planu na 2010 rok</t>
  </si>
  <si>
    <t>Rozliczenie pożyczek</t>
  </si>
  <si>
    <t xml:space="preserve">w  złotych  </t>
  </si>
  <si>
    <t>należności
na 01.01.</t>
  </si>
  <si>
    <t>udzielone
pożyczki</t>
  </si>
  <si>
    <t>spłacone
pożyczki
i odsetki</t>
  </si>
  <si>
    <t>umorzone
i spisane
ze stanu
pożyczki</t>
  </si>
  <si>
    <t>Rozliczone
pożyczki,
odsetki
i zobowiązania</t>
  </si>
  <si>
    <t>należności
na koniec
okresu</t>
  </si>
  <si>
    <t>ZPCH (§ 2450)</t>
  </si>
  <si>
    <t>2009 r.</t>
  </si>
  <si>
    <t>- plan</t>
  </si>
  <si>
    <t>- plan po zmianach</t>
  </si>
  <si>
    <t>- przewidywane wykonanie</t>
  </si>
  <si>
    <t>2010 r.</t>
  </si>
  <si>
    <t>—</t>
  </si>
  <si>
    <t>2011 r.</t>
  </si>
  <si>
    <t>2012 r.</t>
  </si>
  <si>
    <t>II</t>
  </si>
  <si>
    <t>Programy specjalne - razem</t>
  </si>
  <si>
    <t>RAZEM pożyczki na zadania ustawowe i programy specjalne</t>
  </si>
  <si>
    <t>Pozostałe pożyczki (ZFŚS)</t>
  </si>
  <si>
    <t>OGÓŁEM pożyczki PFRON</t>
  </si>
  <si>
    <t>Rozliczenie pożyczek - Programy specjalne</t>
  </si>
  <si>
    <t>A</t>
  </si>
  <si>
    <t>Program samochodowy '95 (§ 3030)</t>
  </si>
  <si>
    <t>B</t>
  </si>
  <si>
    <t>Program "MEDIUM" i "MEDIUM  II" (§ 2450)</t>
  </si>
  <si>
    <t>C</t>
  </si>
  <si>
    <t>Program "Premia dla Aktywnych" (§ 3030)</t>
  </si>
  <si>
    <t>D</t>
  </si>
  <si>
    <t>Program "Pegaz" (§ 3030)</t>
  </si>
  <si>
    <t>E</t>
  </si>
  <si>
    <t>Program "Komputer dla Homera" (§ 3030)</t>
  </si>
  <si>
    <t>F</t>
  </si>
  <si>
    <t>Program "Sezam" (§ 2450)</t>
  </si>
  <si>
    <t>Razem Programy Celowe</t>
  </si>
  <si>
    <t xml:space="preserve">  - wymagalne</t>
  </si>
  <si>
    <t>w tym: niewymagalne</t>
  </si>
  <si>
    <r>
      <t xml:space="preserve">   - zrekompensowanie gminom dochodów utraconych z tytułu zastosowania ustawowych zwolnień dla prowadzacych
     zakłady pracy chronionej lub zakłady aktywności zawodowej z podatku od nieruchomości, rolnego,leśnego
     i od czynności cywilnoprawnych - </t>
    </r>
    <r>
      <rPr>
        <b/>
        <sz val="11"/>
        <rFont val="Calibri"/>
        <family val="2"/>
        <charset val="238"/>
      </rPr>
      <t>art. 47 ust. 2</t>
    </r>
  </si>
  <si>
    <r>
      <t xml:space="preserve">-- realizacja programów wspieranych ze środków pomocowych UE </t>
    </r>
    <r>
      <rPr>
        <b/>
        <sz val="11"/>
        <rFont val="Calibri"/>
        <family val="2"/>
        <charset val="238"/>
      </rPr>
      <t>art. 47 ust. 1 pkt 2</t>
    </r>
  </si>
  <si>
    <r>
      <t xml:space="preserve">-- realizacja działań wyrównujących różnice między regionami </t>
    </r>
    <r>
      <rPr>
        <b/>
        <sz val="11"/>
        <rFont val="Calibri"/>
        <family val="2"/>
        <charset val="238"/>
      </rPr>
      <t>art. 47 ust. 1 pkt 1</t>
    </r>
  </si>
  <si>
    <r>
      <t xml:space="preserve">-- zrekompensowanie gminom dochodów utraconych z tytułu zastosowania ustawowych zwolnień 
dla prowadzacych zpch lub zaz z podatku rolnego,leśnego od nieruchomości i od czynności cywilnoprawnych
 - </t>
    </r>
    <r>
      <rPr>
        <b/>
        <sz val="11"/>
        <rFont val="Calibri"/>
        <family val="2"/>
        <charset val="238"/>
      </rPr>
      <t>art. 47 ust. 2</t>
    </r>
  </si>
  <si>
    <r>
      <t xml:space="preserve">-- dofinansowanie badań, ekspertyz, analiz  </t>
    </r>
    <r>
      <rPr>
        <b/>
        <sz val="11"/>
        <rFont val="Calibri"/>
        <family val="2"/>
        <charset val="238"/>
      </rPr>
      <t>art. 47 ust. 1 pkt 4 lit.b</t>
    </r>
  </si>
  <si>
    <r>
      <t xml:space="preserve">-- zadania zlecane - </t>
    </r>
    <r>
      <rPr>
        <b/>
        <sz val="11"/>
        <rFont val="Calibri"/>
        <family val="2"/>
        <charset val="238"/>
      </rPr>
      <t>art.. 36</t>
    </r>
  </si>
  <si>
    <r>
      <t xml:space="preserve">-- programy zatwierdzone przez Radę Nadzorczą, służące rehabilitacji społecznej, zawodowej i leczniczej
</t>
    </r>
    <r>
      <rPr>
        <b/>
        <sz val="11"/>
        <rFont val="Calibri"/>
        <family val="2"/>
        <charset val="238"/>
      </rPr>
      <t xml:space="preserve">art. 47 ust. 1 pkt 4 lit.a </t>
    </r>
  </si>
  <si>
    <r>
      <t xml:space="preserve">-- refundacja składek na ubezpieczenia społeczne </t>
    </r>
    <r>
      <rPr>
        <b/>
        <sz val="11"/>
        <rFont val="Calibri"/>
        <family val="2"/>
        <charset val="238"/>
      </rPr>
      <t>(art. 25a)</t>
    </r>
  </si>
  <si>
    <r>
      <t xml:space="preserve">   --- dofinansowanie oprocentowania kredytów bankowych - </t>
    </r>
    <r>
      <rPr>
        <b/>
        <sz val="11"/>
        <rFont val="Calibri"/>
        <family val="2"/>
        <charset val="238"/>
      </rPr>
      <t>art. 32 ust. 1 pkt 1,</t>
    </r>
    <r>
      <rPr>
        <sz val="11"/>
        <rFont val="Calibri"/>
        <family val="2"/>
        <charset val="238"/>
      </rPr>
      <t xml:space="preserve"> </t>
    </r>
  </si>
  <si>
    <r>
      <t xml:space="preserve">   --- zwrot kosztów budowy lub rozbudowy obiektów i pomieszczeń zakładu, transportowych i administracyjnych
       -</t>
    </r>
    <r>
      <rPr>
        <b/>
        <sz val="11"/>
        <rFont val="Calibri"/>
        <family val="2"/>
        <charset val="238"/>
      </rPr>
      <t xml:space="preserve"> art. 32 ust. 1 pkt 2</t>
    </r>
  </si>
  <si>
    <r>
      <t xml:space="preserve">-- dofinansowanie do wynagrodzeń  pracowników niepełnosprawnych </t>
    </r>
    <r>
      <rPr>
        <b/>
        <sz val="11"/>
        <rFont val="Calibri"/>
        <family val="2"/>
        <charset val="238"/>
      </rPr>
      <t xml:space="preserve">art. 26a </t>
    </r>
  </si>
  <si>
    <r>
      <t xml:space="preserve">-- zadania zlecane </t>
    </r>
    <r>
      <rPr>
        <b/>
        <sz val="11"/>
        <rFont val="Calibri"/>
        <family val="2"/>
        <charset val="238"/>
      </rPr>
      <t>art. 36</t>
    </r>
  </si>
  <si>
    <r>
      <t xml:space="preserve">-- programy zatwierdzone przez Radę Nadzorczą, służące rehabilitacji społecznej, zawodowej i leczniczej
</t>
    </r>
    <r>
      <rPr>
        <b/>
        <sz val="11"/>
        <rFont val="Calibri"/>
        <family val="2"/>
        <charset val="238"/>
      </rPr>
      <t>art. 47 ust. 1 pkt 4 lit.a</t>
    </r>
  </si>
  <si>
    <r>
      <t xml:space="preserve">   --- Dofinansowanie kosztów szkolenia, o których mowa w art. 18 ustawy o języku migowym i innych środkach komunikowania się - 
        </t>
    </r>
    <r>
      <rPr>
        <b/>
        <sz val="11"/>
        <rFont val="Calibri"/>
        <family val="2"/>
        <charset val="238"/>
      </rPr>
      <t>art. 47 ust 1 pkt. 4 lit. C</t>
    </r>
  </si>
  <si>
    <r>
      <t xml:space="preserve">-- umorzenia pożyczek </t>
    </r>
    <r>
      <rPr>
        <b/>
        <sz val="11"/>
        <rFont val="Calibri"/>
        <family val="2"/>
        <charset val="238"/>
      </rPr>
      <t>art. 47 ust. 1 pkt 4 lit.a</t>
    </r>
  </si>
  <si>
    <r>
      <t xml:space="preserve">--- realizacja działań wyrównujących różnice między regionami </t>
    </r>
    <r>
      <rPr>
        <b/>
        <sz val="11"/>
        <rFont val="Calibri"/>
        <family val="2"/>
        <charset val="238"/>
      </rPr>
      <t>art. 47 ust. 1 pkt 1</t>
    </r>
  </si>
  <si>
    <r>
      <t xml:space="preserve">--- zadania zlecane </t>
    </r>
    <r>
      <rPr>
        <b/>
        <sz val="11"/>
        <rFont val="Calibri"/>
        <family val="2"/>
        <charset val="238"/>
      </rPr>
      <t>art. 36</t>
    </r>
  </si>
  <si>
    <r>
      <t xml:space="preserve">--- dofinansowanie badań, ekspertyz, analiz </t>
    </r>
    <r>
      <rPr>
        <b/>
        <sz val="11"/>
        <rFont val="Calibri"/>
        <family val="2"/>
        <charset val="238"/>
      </rPr>
      <t>art. 47 ust. 1 pkt 4 lit.b</t>
    </r>
  </si>
  <si>
    <r>
      <t xml:space="preserve">--- programy zatwierdzone przez Radę Nadzorczą, służące rehabilitacji społecznej, zawodowej i leczniczej
</t>
    </r>
    <r>
      <rPr>
        <b/>
        <sz val="11"/>
        <rFont val="Calibri"/>
        <family val="2"/>
        <charset val="238"/>
      </rPr>
      <t>art. 47 ust. 1 pkt 4 lit.a</t>
    </r>
  </si>
  <si>
    <r>
      <t xml:space="preserve">   ---  zwrot kosztów budowy lub rozbudowy obiektów i pomieszczeń zakładu, transportowych i administracyjnych
    - </t>
    </r>
    <r>
      <rPr>
        <b/>
        <sz val="11"/>
        <rFont val="Calibri"/>
        <family val="2"/>
        <charset val="238"/>
      </rPr>
      <t>art. 32 ust. 1 pkt 2</t>
    </r>
  </si>
  <si>
    <r>
      <t xml:space="preserve">Wydatki ogółem   ( A : C ) + ( 1 </t>
    </r>
    <r>
      <rPr>
        <b/>
        <strike/>
        <sz val="12"/>
        <rFont val="Calibri"/>
        <family val="2"/>
        <charset val="238"/>
      </rPr>
      <t>:</t>
    </r>
    <r>
      <rPr>
        <b/>
        <sz val="12"/>
        <rFont val="Calibri"/>
        <family val="2"/>
        <charset val="238"/>
      </rPr>
      <t xml:space="preserve"> 4 )</t>
    </r>
  </si>
  <si>
    <r>
      <t xml:space="preserve">Programy służące rehabilitacji społecznej i zawodowej </t>
    </r>
    <r>
      <rPr>
        <sz val="12"/>
        <rFont val="Calibri"/>
        <family val="2"/>
        <charset val="238"/>
      </rPr>
      <t>art. 47 ust. 1 pkt 4 lit.,a</t>
    </r>
  </si>
  <si>
    <t>Zrekompensowanie gminom dochodów utraconych z tytułu zastosowania ustawowych zwolnień dla prowadzacych zakłady pracy chronionej lub zakłady aktywności zawodowej z podatku od nieruchomości, rolnego,leśnego i od czynności cywilnoprawnych - art. 47 ust. 2</t>
  </si>
  <si>
    <t>- opłaty na rzecz budżetów JST</t>
  </si>
  <si>
    <t>4520</t>
  </si>
  <si>
    <t>przyjete z planu z roku 2013</t>
  </si>
  <si>
    <t>zmiana pod 62633</t>
  </si>
  <si>
    <t xml:space="preserve">   - odpis aktualizujący wartość należności z tytułu wpłat na PFRON, pożyczek, odsetek od pożyczek oraz
   innych należności</t>
  </si>
  <si>
    <t>2</t>
  </si>
  <si>
    <t>3</t>
  </si>
  <si>
    <t>4</t>
  </si>
  <si>
    <t>6</t>
  </si>
  <si>
    <t>7</t>
  </si>
  <si>
    <t>III</t>
  </si>
  <si>
    <t>IV</t>
  </si>
  <si>
    <t>Stan funduszu na początek roku (FAKTYCZNY NA PW)</t>
  </si>
  <si>
    <t xml:space="preserve">Dofinansowanie kosztów szkolenia, o których mowa w art. 18 ustawy o języku migowym i innych środkach 
komunikowania się - (Dz.U Nr 209, poz 1243, z póżn. zm) - art. 47 ust 1 pkt. 4 lit. c </t>
  </si>
  <si>
    <t xml:space="preserve">  - odpis aktualizujący wartość należności z tytułu wpłat na PFRON, pożyczek, odsetek od pożyczek oraz innych należności</t>
  </si>
  <si>
    <t>Zrekompensowanie gminom dochodów utraconych z tytułu zastosowania ustawowych zwolnień dla prowadzacych
zakłady pracy chronionej lub zakłady aktywności zawodowej z podatku od nieruchomości, rolnego,leśnego i od 
czynności cywilnoprawnych - art. 47 ust. 2</t>
  </si>
  <si>
    <t>Realizacja działań wyrównujących różnice między regionami - art. 47 ust. 1 pkt 1  ustawy z dnia 27 sierpnia 1997 r. o rehabilitacji zawodowej i społecznej oraz zatrudnianiu osób niepełnosprawnych (Dz. U z 2011 r. Nr 127, poz. 721, z póżn. zm.)</t>
  </si>
  <si>
    <t>ŚRODKI PIENIĘŻNE KASA=MEMORIAŁ</t>
  </si>
  <si>
    <t>KASA</t>
  </si>
  <si>
    <t xml:space="preserve">            !!! DEPOZYTY ZMIEŃ</t>
  </si>
  <si>
    <t>inflacja 2,2% od 2017</t>
  </si>
  <si>
    <t>sporzadził: …Dominik Żak, Główny Specjalista…</t>
  </si>
  <si>
    <t>nr telefonu …22 50 55 398…     adres e-mail …dzak@pfron.org.pl..</t>
  </si>
  <si>
    <t xml:space="preserve">               (imię i nazwisko, stanowisko słuzbowe)</t>
  </si>
  <si>
    <t xml:space="preserve">Stan funduszu na koniec 2015 roku powiększają wydatki inwestycyjne własne i zakupy inwestycyjne własne w kwocie </t>
  </si>
  <si>
    <t>Stan funduszu na koniec 2018 roku powiększają wydatki inwestycyjne własne i zakupy inwestycyjne własne w kwocie</t>
  </si>
  <si>
    <t xml:space="preserve">    - dofinansowanie do wynagrodzeń pracowników niepełnosprawnych - art. 46a ust. 1 pkt 1</t>
  </si>
  <si>
    <t xml:space="preserve">   - zrekompensowanie gminom dochodów utraconych z tytułu zastosowania ustawowych zwolnień dla prowadzacych zakłady pracy chronionej lub zakłady aktywności zawodowej z podatku od nieruchomości, rolnego,leśnego i od czynności cywilnoprawnych - art. 46a ust. 1 pkt 2</t>
  </si>
  <si>
    <t xml:space="preserve">    - dofinansowanie do wynagrodzeń pracowników niepełnosprawnych  - art. 46a ust. 1 pkt 1</t>
  </si>
  <si>
    <t xml:space="preserve">Środki pieniężne (z lokatami)                                                                                                </t>
  </si>
  <si>
    <t xml:space="preserve">Przewidywane 
wykonanie 
w </t>
  </si>
  <si>
    <t>Projekt planu 
na</t>
  </si>
  <si>
    <t xml:space="preserve">                                           PROJEKT BUDŻETU PAŃSTWA NA 2016 r.</t>
  </si>
  <si>
    <t>zakup usług</t>
  </si>
  <si>
    <t>- zakup usług</t>
  </si>
  <si>
    <t>4700</t>
  </si>
  <si>
    <t>- szkolenia</t>
  </si>
  <si>
    <t>4950</t>
  </si>
  <si>
    <t>- różnice kursowe</t>
  </si>
  <si>
    <t>- opłaty z tytułu zakupu usług telekomunikacyjnych</t>
  </si>
  <si>
    <t>Część D</t>
  </si>
  <si>
    <t>Nazwa funkcji/zadania/podzadania/ działania</t>
  </si>
  <si>
    <t>Cel</t>
  </si>
  <si>
    <t>Miernik</t>
  </si>
  <si>
    <t>Nazwa</t>
  </si>
  <si>
    <t>Ogółem                 KASA</t>
  </si>
  <si>
    <t>stałe</t>
  </si>
  <si>
    <t>% kasowy</t>
  </si>
  <si>
    <t xml:space="preserve">realizacja zadań </t>
  </si>
  <si>
    <t>inwestycyjne</t>
  </si>
  <si>
    <t>razem zadania i inwestycyjne (kol.10+11)</t>
  </si>
  <si>
    <t>w tym inwestycje</t>
  </si>
  <si>
    <t>WYDATKI OGÓŁEM</t>
  </si>
  <si>
    <t>13.1.</t>
  </si>
  <si>
    <t>Pomoc i integracja społeczna</t>
  </si>
  <si>
    <t>Umożliwienie osobom i rodzinom przezwyciężenia trudnych sytuacji życiowych</t>
  </si>
  <si>
    <t>Stosunek liczby osób korzystających z pomocy niepieniężnej do ogólnej liczby osób korzystających z pomocy społecznej</t>
  </si>
  <si>
    <t>[-] Zmiany dotyczące sprawozdań statystycznych, umożliwiających obliczenie wartości miernika, zostały zgłoszone do GUS i zostaną wprowadzone w roku 2011</t>
  </si>
  <si>
    <t>Zmiany dotyczące sprawozdań statystycznych, umożliwiających obliczenie wartości miernika, zostały zgłoszone do GUS i zostaną wprowadzone w roku 2011</t>
  </si>
  <si>
    <t>13.1.1.</t>
  </si>
  <si>
    <t>Wspieranie osób zagrożonych wykluczeniem społecznym</t>
  </si>
  <si>
    <t>Wspieranie lokalnych inicjatyw w obszarze pomocy i integracji społecznej</t>
  </si>
  <si>
    <t>Liczba dobrych praktyk otrzymujących wsparcie finansowe</t>
  </si>
  <si>
    <t>[2009] 260</t>
  </si>
  <si>
    <t>260</t>
  </si>
  <si>
    <t>13.1.1.1.</t>
  </si>
  <si>
    <t>Przeciwdziałanie bezdomności</t>
  </si>
  <si>
    <t>13.1.1.2.</t>
  </si>
  <si>
    <t>Wspieranie osób z zaburzeniami psychicznymi</t>
  </si>
  <si>
    <t>13.1.1.3.</t>
  </si>
  <si>
    <t>Wspieranie alternatywnych, nowatorskich form zatrudnienia</t>
  </si>
  <si>
    <t>13.1.1.4.</t>
  </si>
  <si>
    <t>Aktywizacja poprzez prace społecznie użyteczne i roboty publiczne</t>
  </si>
  <si>
    <t>13.1.1.5.</t>
  </si>
  <si>
    <t>Integracja społeczna dzieci i młodzieży</t>
  </si>
  <si>
    <t>13.1.1.6.</t>
  </si>
  <si>
    <t>Dofinansowanie realizacji programu wieloletniego "Pomoc państwa w zakresie dożywiania"</t>
  </si>
  <si>
    <t>13.1.2.</t>
  </si>
  <si>
    <t>Tworzenie, wdrażanie oraz realizacja przepisów o pomocy społecznej</t>
  </si>
  <si>
    <t>Zapewnienie dobrej jakości usług oraz usprawnianie działalności podmiotów realizujących przepisy o pomocy społecznej</t>
  </si>
  <si>
    <t xml:space="preserve">Odsetek instytucji pomocy społecznej, które osiągnęły wymagane standardy </t>
  </si>
  <si>
    <t>[2009] 12%</t>
  </si>
  <si>
    <t>15%</t>
  </si>
  <si>
    <t>13.1.2.1.</t>
  </si>
  <si>
    <t>Tworzenie i opiniowanie projektów nowych rozwiązań w obszarze pomocy społecznej w zakresie wpływu i zgodności z systemem pomocy społecznej w Polsce</t>
  </si>
  <si>
    <t>13.1.2.2.</t>
  </si>
  <si>
    <t>Udział w procedurze nadzoru i kontroli w zakresie obowiązujących w systemie pomocy społecznej standardów oraz prawidłowej realizacji zadań z zakresu pomocy społecznej</t>
  </si>
  <si>
    <t>13.1.2.3.</t>
  </si>
  <si>
    <t>Projektowanie rozstrzygnięć w II instancji w zakresie wydawania zezwoleń na prowadzenie określonych w Ustawie o pomocy społecznej jednostek organizacyjnych pomocy społecznej i placówek</t>
  </si>
  <si>
    <t>13.1.2.4.</t>
  </si>
  <si>
    <t>Szkolenia w ramach Krajowego Programu Zwalczania i Zapobiegania Handlowi Ludźmi</t>
  </si>
  <si>
    <t>13.1.2.5.</t>
  </si>
  <si>
    <t>Zobowiązania wynikające z umów o charakterze międzynarodowym, między innymi składka Eurosocial</t>
  </si>
  <si>
    <t>13.1.3.</t>
  </si>
  <si>
    <t>Zapewnienie jakości kształcenia i doskonalenia zawodowego służb społecznych</t>
  </si>
  <si>
    <t>Podnoszenie kompetencji służb społecznych</t>
  </si>
  <si>
    <t>Udział liczby pracowników socjalnych, którzy zdobyli I i II stopień specjalizacji w ogólnej liczbie pracowników socjalnych</t>
  </si>
  <si>
    <t>[2009] 8%</t>
  </si>
  <si>
    <t>8%</t>
  </si>
  <si>
    <t>13.1.3.1.</t>
  </si>
  <si>
    <t>Działalność Centralnej Komisji Egzaminacyjnej</t>
  </si>
  <si>
    <t>13.1.3.2.</t>
  </si>
  <si>
    <t>Przyznawanie nagród specjalnych przez Ministra do spraw zabezpieczenia społecznego za wybitne osiągnięcia w obszarze pomocy społecznej wraz z organizacją uroczystości z tym związanych, w tym nagrody dla pracowników socjalnych</t>
  </si>
  <si>
    <t>13.1.3.3.</t>
  </si>
  <si>
    <t>Działalność Rady Redakcyjnej "Biblioteka pracownika socjalnego"</t>
  </si>
  <si>
    <t>13.1.4.</t>
  </si>
  <si>
    <t>Działalność badawcza, doradcza i informacyjna</t>
  </si>
  <si>
    <t>Poszerzenie wiedzy z zakresu pomocy społecznej</t>
  </si>
  <si>
    <t>Udział kwoty przeznaczonej na działalność badawczą, doradczą i informacyjną w stosunku do ogólnej kwoty przeznaczonej na pomoc i integrację społeczną</t>
  </si>
  <si>
    <t>[2009] 2,5%</t>
  </si>
  <si>
    <t>2,5%</t>
  </si>
  <si>
    <t>13.1.4.1.</t>
  </si>
  <si>
    <t>Badania z obszaru pomocy społecznej, w tym obliczanie minimum egzystencji, minimum socjalnego i progu interwencji socjalnej</t>
  </si>
  <si>
    <t>13.1.4.2.</t>
  </si>
  <si>
    <t>Działalność Rady Pomocy Społecznej</t>
  </si>
  <si>
    <t>13.1.4.3.</t>
  </si>
  <si>
    <t>Organizacja kampanii społecznych, w tym kampanii na rzecz przeciwdziałania przemocy w rodzinie</t>
  </si>
  <si>
    <t>13.1.4.4.</t>
  </si>
  <si>
    <t>Spotkania z kadrą pomocy społecznej, w tym podróże krajowe</t>
  </si>
  <si>
    <t>Objęcie całej populacji osób niepełnosprawnych różnymi formami rehabilitacji adekwatnymi do profilu niepełnosprawności</t>
  </si>
  <si>
    <t xml:space="preserve">Liczba osób niepełnosprawnych,objętych wsparciem w zakresie rehabilitacji </t>
  </si>
  <si>
    <t>Koordynacja i wspieranie rehabilitacji społecznej, realizowanej przez JST</t>
  </si>
  <si>
    <t>objęcie wsparciem pośrednim osób niepełnosprawnych w zakresie rehabilitacji społecznej realizowanych zadań przez JST</t>
  </si>
  <si>
    <t>Liczba osób niepełnosprawnych objętych wsparciem pośrednim w zakresie zadań rehabilitacji społecznej realizowanych przez JST</t>
  </si>
  <si>
    <t>samorządy wojewódzkie na realizację zadań</t>
  </si>
  <si>
    <t>samorządy wojewódzkie na pokrycie kosztów obsługi realizowanych zadań</t>
  </si>
  <si>
    <t>samorządy powiatowe na realizację zadań</t>
  </si>
  <si>
    <t>samorządy powiatowe na pokrycie kosztów obsługi realizowanych zadań</t>
  </si>
  <si>
    <t xml:space="preserve">Wspieranie osób niepełnosprawnych w życiu społecznym i zawodowym </t>
  </si>
  <si>
    <t>Objęcie wsparciem programami osób niepełnosprawnych w rehabilitacji społecznej i zawodowej przez PFRON</t>
  </si>
  <si>
    <t>Liczba osób niepełnosprawnych objętych wsparciem dla poprawy w życiu społecznym i zawodowym</t>
  </si>
  <si>
    <t>Program Wyrównywania Różnic Między Regionami art. 47 ust. 1 pkt 1</t>
  </si>
  <si>
    <t xml:space="preserve">Liczba osób niepełnosprawnych objętych wsparciem dla poprawy życia społecznego i zawodowego </t>
  </si>
  <si>
    <t>refundcja kosztów wydawania certyfikatów przez podmioty uprawnione do szkolenia psów asystujących 
art. 20b</t>
  </si>
  <si>
    <t>dofinansowanie badań, ekspertyz i analiz 
art. 47 ust. 1 pkt 4 lit. b</t>
  </si>
  <si>
    <t>dofinansowanie kosztów szkoleń, o których mowa w art. 18 ustawy o języku migowym i innych śrokdach komunikacji</t>
  </si>
  <si>
    <t>usuwanie skutków powodzi</t>
  </si>
  <si>
    <t>Programy zatwierdzone przez Radę Nadzorczą, w tym:</t>
  </si>
  <si>
    <t>liczba osób niepełnospranych uczestniczących w programach realizowanych przez PFRON</t>
  </si>
  <si>
    <t xml:space="preserve">Pitagoras </t>
  </si>
  <si>
    <t>Program Wsparcia Inicjatyw na rzecz środowiska niepełnosprawnych</t>
  </si>
  <si>
    <t>Uczeń na Wsi</t>
  </si>
  <si>
    <t>Wsparcie Ośrodka Szkolno-Wychowawczego dla Dzieci Niewidomych
w Laskach</t>
  </si>
  <si>
    <t>Powódź 2010 -pomoc ososbom niepełnosprawnym poszkodowanym w wyniku skutków powodzi mającej miejsce na terenie Polski</t>
  </si>
  <si>
    <t xml:space="preserve">program Wsparcia Inicjatyw </t>
  </si>
  <si>
    <t>Osoby Niepełnosprawne w Służbie Publicznej</t>
  </si>
  <si>
    <t>13.3.</t>
  </si>
  <si>
    <t>Ubezpieczenia społeczne</t>
  </si>
  <si>
    <t>Zapewnianie środków dla osób uprawnionych do korzystania ze świadczeń z systemu ubezpieczeń społecznych</t>
  </si>
  <si>
    <t>Liczba osób obiętych ubezpieczeniem emerytalnym i rentowym w stosunku do liczby osób w wieku produkcyjnym</t>
  </si>
  <si>
    <t>13.3.2.</t>
  </si>
  <si>
    <t>Nadzór nad zgodnością działań Zakładu Ubezpieczeń Społecznych z obowiązującymi przepisami prawa</t>
  </si>
  <si>
    <t>Zapewnianie sprawnego nadzoru</t>
  </si>
  <si>
    <t>Liczba pracowników Zakładu Ubezpieczeń Społecznych w relacji do liczby klientów Zakładu</t>
  </si>
  <si>
    <t>13.3.2.1.</t>
  </si>
  <si>
    <t>Wystąpienia i bieżące konsultacje z ZUS w zakresie przepisów o ubezpieczeniach społecznych</t>
  </si>
  <si>
    <t>13.3.2.2.</t>
  </si>
  <si>
    <t>Działania związane z realizacją planów finansowych ZUS i funduszy celowych</t>
  </si>
  <si>
    <t>13.3.8.</t>
  </si>
  <si>
    <t>Kształtowanie systemu repartycyjnego</t>
  </si>
  <si>
    <t>Udoskonalenie funkcjonowania systemu repartycyjnego</t>
  </si>
  <si>
    <t>Kwota wydatków na świadczenia w relacji do PKB</t>
  </si>
  <si>
    <t>13.3.8.1.</t>
  </si>
  <si>
    <t>Dostosowywanie regulacji emerytalnych do stawianych wymagań społeczno-ekonomicznych</t>
  </si>
  <si>
    <t>13.3.8.2.</t>
  </si>
  <si>
    <t>Dostosowywanie regulacji rentowych do stawianych wymagań społeczno-ekonomicznych</t>
  </si>
  <si>
    <t>13.3.8.3.</t>
  </si>
  <si>
    <t>Dostosowywanie regulacji w zakresie ubezpieczenia wypadkowego do stawianych wymagań społeczno-ekonomicznych</t>
  </si>
  <si>
    <t>13.3.8.4.</t>
  </si>
  <si>
    <t>Dostosowywanie regulacji w zakresie ubezpieczenia chorobowego do stawianych wymagań społeczno-ekonomicznych</t>
  </si>
  <si>
    <t>13.3.13.</t>
  </si>
  <si>
    <t>Wspieranie działań Otwartych Funduszy Emerytalnych</t>
  </si>
  <si>
    <t>Umacnianie kapitałowej części ubezpieczeń społecznych</t>
  </si>
  <si>
    <t>Wartość aktywów OFE (netto) na 1 członka OFE</t>
  </si>
  <si>
    <t>13.3.13.1.</t>
  </si>
  <si>
    <t>Kształtowanie systemu OFE</t>
  </si>
  <si>
    <t>13.3.13.2.</t>
  </si>
  <si>
    <t>Zarządzanie bezpieczeństwem środków gromadzonych w OFE</t>
  </si>
  <si>
    <t>13.3.14.</t>
  </si>
  <si>
    <t>Wspieranie Pracowniczych Programów Emerytalnych i Indywidualnych Kont Emerytalnych</t>
  </si>
  <si>
    <t>Zwiększenie dodatkowego dobrowolnego zasobu oszczędności emerytalnych</t>
  </si>
  <si>
    <t>Liczba osób obiętych PPE i oszczędzających na IKE</t>
  </si>
  <si>
    <t>13.3.14.1.</t>
  </si>
  <si>
    <t>Ochrona interesów uczestników Pracowniczych Programów Emerytalnych</t>
  </si>
  <si>
    <t>13.3.14.2.</t>
  </si>
  <si>
    <t>Ochrona interesów uczestników Indywidualnych Kont Emerytalnych</t>
  </si>
  <si>
    <t>13.3.15.</t>
  </si>
  <si>
    <t>Koordynacja systemów zabezpieczenia społecznego</t>
  </si>
  <si>
    <t>Zapewnienie ochrony w dziedzinie zabezpieczenia społecznego osobom pracującym i członkom ich rodzin, migrującym pomiędzy państwami</t>
  </si>
  <si>
    <t>Liczba państw, których systemy zabezpieczenia społecznego zostały skoordynowane z polskim systemem zabezpieczenia społecznego przepisami międzynarodowymi, w tym w danym roku</t>
  </si>
  <si>
    <t>13.3.15.1.</t>
  </si>
  <si>
    <t>Unijna koordynacja systemów zabezpieczenia społecznego i nadzorowanie jej realizacji przez instytucje polskie</t>
  </si>
  <si>
    <t>13.3.15.2.</t>
  </si>
  <si>
    <t>Dwustronna koordynacja systemów zabezpieczenia społecznego i nadzorowanie jej realizacji przez instytucje polskie</t>
  </si>
  <si>
    <t>13.7.</t>
  </si>
  <si>
    <t>Informatyzacja działalności i budowa społeczeństwa informacyjnego</t>
  </si>
  <si>
    <t>Zwiększanie odsetka jednostek używających homologowanego oprogramowania</t>
  </si>
  <si>
    <t>Stosunek liczby jednostek pracujących z użyciem homologowanego oprogramowania do liczby wszystkich jednostek</t>
  </si>
  <si>
    <t>13.7.1.</t>
  </si>
  <si>
    <t>Utrzymanie systemów informatycznych</t>
  </si>
  <si>
    <t>Zwiększanie odsetka jednostek, w których zapewniono integrację wewnątrz obszaru zabezpieczenia społecznego</t>
  </si>
  <si>
    <t>Stosunek liczby jednostek zintegrowanych wewnątrz obszaru zabezpieczenia społecznego oraz z systemami zewnętrznymi do liczby wszystkich jednostek</t>
  </si>
  <si>
    <t>13.7.1.1.</t>
  </si>
  <si>
    <t>Utrzymanie i rozwój infrastruktury informatycznej z obszaru zabezpieczenia społecznego</t>
  </si>
  <si>
    <t>13.7.1.2.</t>
  </si>
  <si>
    <t>Wytworzenie, utrzymanie i rozwój systemów informatycznych z obszaru zabezpieczenia społecznego</t>
  </si>
  <si>
    <t>13.1.3.4.</t>
  </si>
  <si>
    <t>Wspieranie organizacji pozarzadowych, realizujących zadania na rzecz osób niepełnosprawnych oraz tworzenie płaszczyzny współpracy</t>
  </si>
  <si>
    <t xml:space="preserve">Objęcie wsparciem procesu aktywizacji osób niepełnosprawnych realizowanego przez NGO's </t>
  </si>
  <si>
    <t xml:space="preserve">Liczba zrealizowanych umów przez NGO's z zakresu rehabilitacji osób niepełnosprawnych </t>
  </si>
  <si>
    <t>zadania zlecane
art. 36</t>
  </si>
  <si>
    <t>Program Wsparcia Miedzynarodowych Imprez Sportowych dla Osób Niepełnosprawnych organizowanych na terenie Polski</t>
  </si>
  <si>
    <t>14.1.</t>
  </si>
  <si>
    <t>Wspieranie zatrudnienia i przeciwdziałanie bezrobociu</t>
  </si>
  <si>
    <t>14.1.5.</t>
  </si>
  <si>
    <t>Aktywizacja zawodowa osób niepełnosprawnych</t>
  </si>
  <si>
    <t>Zwiększenie udziału osób niepełnosprawnych aktywnych zawodowo</t>
  </si>
  <si>
    <t>Liczba osób niepełnosprawnych objętych wsparciem w zakresie reahabilitacji zawodowej</t>
  </si>
  <si>
    <t>14.1.5.1.</t>
  </si>
  <si>
    <t>Utrzymanie poziomu zatrudnienia osób niepełnosprawnych wspartych działaniami PFRON</t>
  </si>
  <si>
    <t xml:space="preserve">Liczba osób niepełnosprawnych objętych wsparciem    </t>
  </si>
  <si>
    <t>Dofinansowanie do wynagrodzeń pracowników niepelnosprawnych 
art. 26 a</t>
  </si>
  <si>
    <t>realizacja programów wspieranych ze środków pomocowych UE 
art. 47 ust. 1 pkt 2</t>
  </si>
  <si>
    <t>dofinansowanie do rekompensat dla gmin 
art. 47 ust. 2</t>
  </si>
  <si>
    <t>dofinansowanie oprocentowania kredytów bankowych 
art. 32 ust. 1 pkt 1</t>
  </si>
  <si>
    <t>zwrot kosztó budowy i rozbudowy obiektów i pomieszczeń zakładu, transportowych i administracyjnych 
art. 32 ust. 1 pkt 2</t>
  </si>
  <si>
    <t>zwrot dotacji wykorzystanych niezgodnie z przeznaczeniem lub pobranych w nadmiernej wysokości</t>
  </si>
  <si>
    <t>14.1.5.2.</t>
  </si>
  <si>
    <t xml:space="preserve">Objęcie wsparciem osób niepełnosprawnych prowadzących własną działalność gospodarczą oraz niepełnosprawnych rolników </t>
  </si>
  <si>
    <t>Refundacja  składek na ubezpieczenia społeczne 
art. 25 a</t>
  </si>
  <si>
    <t>14.1.5.3.</t>
  </si>
  <si>
    <t>objęcie wsparciem pośrednim osób niepełnosprawnych w zakresie rehabilitacji zawodoewj realizowanych zadań przez JST</t>
  </si>
  <si>
    <t>Liczba osób niepełnosprawnych objętych wsparciem pośrednim w zakresie zadań rehabilitacji zawodowej realizowanych przez JST</t>
  </si>
  <si>
    <t>Sprawy obywatelskie</t>
  </si>
  <si>
    <t>16.8.</t>
  </si>
  <si>
    <t>Budowa społeczeństwa obywatelskiego</t>
  </si>
  <si>
    <t xml:space="preserve">Zwiększenie roli dialogu i partnerstwa społecznego w rozwiązywaniu problemów społeczno-gospodarczych </t>
  </si>
  <si>
    <t>Liczba podmiotów dialogu i partnerstwa społecznego, z którymi utrzymywana jest współpraca</t>
  </si>
  <si>
    <t>[2009] 269</t>
  </si>
  <si>
    <t>270</t>
  </si>
  <si>
    <t>Zwiększanie aktywności społecznej w funkcjonowaniu państwa w zakresie dialogu obywatelskiego</t>
  </si>
  <si>
    <t>Odsetek podatników przekazujących 1% podatku na rzecz organizacji pożytku publicznego</t>
  </si>
  <si>
    <t>[2008] 28,3%</t>
  </si>
  <si>
    <t>35,5%</t>
  </si>
  <si>
    <t>16.8.1.</t>
  </si>
  <si>
    <t>Tworzenie warunków dla rozwoju podmiotów prowadzących działalność pożytku publicznego, współpracy tych podmiotów z organami administracji publicznej oraz dialogu obywatelskiego</t>
  </si>
  <si>
    <t>Zwiększanie udziału organizacji pozarządowych i innych podmiotów prowadzących działalność pożytku publicznego w realizacji zadań publicznych</t>
  </si>
  <si>
    <t>Procent środków rocznie przekazywanych stowarzyszeniom i fundacjom z budżetu jednostek samorządu terytorialnego</t>
  </si>
  <si>
    <t>[2008] 0,70%</t>
  </si>
  <si>
    <t>0,81%</t>
  </si>
  <si>
    <t>16.8.1.1.</t>
  </si>
  <si>
    <t>Legislacja w zakresie działalności pożytku publicznego i wolontariatu</t>
  </si>
  <si>
    <t>16.8.1.2.</t>
  </si>
  <si>
    <t>Wdrażanie Ustawy o działalności pożytku publicznego i o wolontariacie</t>
  </si>
  <si>
    <t>16.8.1.3.</t>
  </si>
  <si>
    <t>Realizacja projektów systemowych w zakresie działalności pożytku publicznego</t>
  </si>
  <si>
    <t>16.8.1.4.</t>
  </si>
  <si>
    <t>Merytoryczna i organizacyjna obsługa Rady Działalności Pożytku Publicznego</t>
  </si>
  <si>
    <t>16.8.1.5.</t>
  </si>
  <si>
    <t>Prowadzenie bazy sprawozdań finansowych organizacji pożytku publicznego</t>
  </si>
  <si>
    <t>16.8.1.6.</t>
  </si>
  <si>
    <t>Prowadzenie serwisu internetowego poświęconego problematyce III sektora www.pozytek.gov.pl</t>
  </si>
  <si>
    <t>16.8.1.7.</t>
  </si>
  <si>
    <t>Wspieranie rozwoju wolontariatu</t>
  </si>
  <si>
    <t>16.8.2.</t>
  </si>
  <si>
    <t>Wspieranie społeczeństwa obywatelskiego oraz instytucji gospodarki społecznej</t>
  </si>
  <si>
    <t>Tworzenie kompleksowych warunków dla rozwoju inicjatyw obywatelskich</t>
  </si>
  <si>
    <t>Liczba złożonych wniosków w ramach PO FIO</t>
  </si>
  <si>
    <t>[2009] 3 087</t>
  </si>
  <si>
    <t>3 900</t>
  </si>
  <si>
    <t>16.8.2.1.</t>
  </si>
  <si>
    <t>Realizacja Programu Operacyjnego Fundusz Inicjatyw Obywatelskich 2009-2013</t>
  </si>
  <si>
    <t>16.8.2.2.</t>
  </si>
  <si>
    <t>Udzielanie wyjaśnień, interpretacji i opinii w zakresie gospodarki społecznej, w szczególności dotyczących spółdzielni socjalnych</t>
  </si>
  <si>
    <t>16.8.2.3.</t>
  </si>
  <si>
    <t>Opracowywanie projektów założeń oraz projektów aktów normatywnych i innych dokumentów w zakresie gospodarki społecznej, w szczególności dotyczących spółdzielni socjalnych</t>
  </si>
  <si>
    <t>16.8.3.</t>
  </si>
  <si>
    <t>Nadzór i kontrola nad organizacjami pożytku publicznego oraz fundacjami, dla których ministrem właściwym jest Minister Pracy i Polityki Społecznej</t>
  </si>
  <si>
    <t>Zapewnianie sprawnego i zgodnego z prawem funkcjonowania organizacji pożytku publicznego i fundacji</t>
  </si>
  <si>
    <t>Liczba organizacji pożytku publicznego i fundacji, wobec których Minister Pracy i Polityki Społecznej zastosował środki nadzorcze oraz przeprowadzonych postępowań kontrolnych</t>
  </si>
  <si>
    <t>[2008] 3 575</t>
  </si>
  <si>
    <t>6 275</t>
  </si>
  <si>
    <t>16.8.3.1.</t>
  </si>
  <si>
    <t>Planowanie, kontrola i monitorowanie stanu realizacji wniosków pokontrolnych</t>
  </si>
  <si>
    <t>16.8.3.2.</t>
  </si>
  <si>
    <t>Działania nadzorcze, w tym stosowanie środków nadzoru</t>
  </si>
  <si>
    <t>Planowanie strategiczne oraz obsługa administracyjna i techniczna</t>
  </si>
  <si>
    <t>22.1.</t>
  </si>
  <si>
    <t>Koordynacja merytoryczna działalności, planowania strategicznego i operacyjnego</t>
  </si>
  <si>
    <t>Zapewnianie merytorycznej obsługi organu administracji rządowej/kierownika jednostki  na rzecz utrzymania zgodności prowadzonej działalności z celami polityki rządu</t>
  </si>
  <si>
    <t>Wartość środków finansowych przeznaczonych na realizację zadania</t>
  </si>
  <si>
    <t>[-] -</t>
  </si>
  <si>
    <t>-</t>
  </si>
  <si>
    <t>22.1.1.</t>
  </si>
  <si>
    <t>Współpraca międzynarodowa, sporządzanie badań i analiz, wspomaganie organizacyjne Kierownictwa Urzędu, polityka informacyjna, działania z zakresu obronności</t>
  </si>
  <si>
    <t>Zapewnienie obsługi merytorycznej działalności Urzędu i koordynacja działań</t>
  </si>
  <si>
    <t>Wartość środków finansowych przeznaczonych na realizację podzadania</t>
  </si>
  <si>
    <t>22.1.1.1.</t>
  </si>
  <si>
    <t>Współpraca międzynarodowa</t>
  </si>
  <si>
    <t>22.1.1.2.</t>
  </si>
  <si>
    <t>Sporządzanie analiz, badań i prognoz</t>
  </si>
  <si>
    <t>22.1.1.3.</t>
  </si>
  <si>
    <t>Wspomaganie organizacyjne Ministra, sekretarza stanu, podsekretarzy stanu i szefa Gabinetu Politycznego Ministra, kontrola skarg i wniosków wpływających do Urzędu oraz wykonywanie zadań z zakresu obronności, cywilnego zarządzania kryzysowego i zapewnianie</t>
  </si>
  <si>
    <t>22.1.1.4.</t>
  </si>
  <si>
    <t>Prowadzenie polityki informacyjnej</t>
  </si>
  <si>
    <t>22.2.</t>
  </si>
  <si>
    <t>Obsługa administracyjna</t>
  </si>
  <si>
    <t>Zapewnianie sprawnego funkcjonowania Urzędu i sprawnej obsługi pracowników</t>
  </si>
  <si>
    <t>22.2.1.</t>
  </si>
  <si>
    <t>Prowadzenie księgowości, obsługa prawna, realizacja zadań kontrolnych i audytu, realizacja zadań związanych z zapewnieniem ciągłości pracy Urzędu</t>
  </si>
  <si>
    <t>Zapewnianie właściwego funkcjonowania Urzędu od strony administracyjnej</t>
  </si>
  <si>
    <t>22.2.1.1.</t>
  </si>
  <si>
    <t>Prowadzenie spraw z zakresu finansów publicznych i rachunkowości, konstruowanie i realizacja budżetu resortu, planu finansowego Funduszu Pracy i obsługa finansowa środków pochodzących z funduszy strukturalnych</t>
  </si>
  <si>
    <t>22.2.1.2.</t>
  </si>
  <si>
    <t>Prawidłowe przygotowywanie projektów aktów normatywnych i materiałów na posiedzenia RM i stałego komitetu RM, bezpośrednia obsługa Kierownictwa Urzędu w zakresie współpracy z Parlamentem, monitorowanie prac MPiPS w zakresie dostosowania polskiego prawa do</t>
  </si>
  <si>
    <t>22.2.1.3.</t>
  </si>
  <si>
    <t>Realizacja zadań kontrolnych zleconych przez Ministra oraz dyrektora generalnego</t>
  </si>
  <si>
    <t>22.2.1.4.</t>
  </si>
  <si>
    <t>Niezależne badanie systemów zarządzania i kontroli w Ministerstwie, wykonywanie czynności doradczych mających na celu usprawnienie funkcjonowania Ministerstwa</t>
  </si>
  <si>
    <t>22.2.1.5.</t>
  </si>
  <si>
    <t>Prowadzenie spraw związanych z realizacją zadań dyrektora generalnego w zakresie zapewnienia funkcjonowania i ciągłości pracy Ministerstwa, organizacji pracy, czynności z zakresu prawa pracy wobec pracowników Urzędu, prowadzenie spraw związanych z bezpiec</t>
  </si>
  <si>
    <t>22.2.1.6.</t>
  </si>
  <si>
    <t>Działalność Głównej Biblioteki Pracy i Zabezpieczenia Społecznego</t>
  </si>
  <si>
    <t>22.3.</t>
  </si>
  <si>
    <t>Obsługa techniczna</t>
  </si>
  <si>
    <t>Zapewnianie warunków technicznych niezbędnych do prawidłowego i niezakłóconego funkcjonowania Urzędu</t>
  </si>
  <si>
    <t>22.3.1.</t>
  </si>
  <si>
    <t>Utrzymanie infrastruktury technicznej Urzędu</t>
  </si>
  <si>
    <t>Zapewnienie właściwych narzędzi i warunków pracy dla pracowników Urzędu</t>
  </si>
  <si>
    <t>22.3.1.1.</t>
  </si>
  <si>
    <t>Prowadzenie Zakładu Wydawniczo -Poligraficznego MPiPS</t>
  </si>
  <si>
    <t>22.3.1.2.</t>
  </si>
  <si>
    <t>Prowadzenie spraw związanych z zamówieniami publicznymi, gospodarka lokalową, gospodarowanie majątkiem, zapewnianie właściwych narzędzi i warunków pracy dla pracowników Urzędu</t>
  </si>
  <si>
    <t>22.3.2.</t>
  </si>
  <si>
    <t>Utrzymanie systemów informatycznych MPiPS (centrali)</t>
  </si>
  <si>
    <t>Prawidłowe i niezakłócone działanie systemu informatycznego MPiPS</t>
  </si>
  <si>
    <t xml:space="preserve">Ocena jakości obsługi technicznej przez komórki merytoryczne MPiPS </t>
  </si>
  <si>
    <t>[-] Dysponent nie prowadził pomiaru</t>
  </si>
  <si>
    <t>22.3.2.1.</t>
  </si>
  <si>
    <t>22.3.2.2.</t>
  </si>
  <si>
    <t>sporządził .....................................................................</t>
  </si>
  <si>
    <t xml:space="preserve">                    (imię i nazwisko, stanowisko służbowe)</t>
  </si>
  <si>
    <t xml:space="preserve">nr telefonu                 adres e-mail </t>
  </si>
  <si>
    <t>data                                 podpis .........................</t>
  </si>
  <si>
    <t>2016 r.</t>
  </si>
  <si>
    <t>2017 r.</t>
  </si>
  <si>
    <t>2018 r.</t>
  </si>
  <si>
    <t>Część D  Plan finansowy w układzie zadaniowym</t>
  </si>
  <si>
    <t>Kod klasyfikacji zadaniowej</t>
  </si>
  <si>
    <t>Wydatki według źródeł finansowania / Koszty</t>
  </si>
  <si>
    <t>Wartość bazowa</t>
  </si>
  <si>
    <t>Docelowa</t>
  </si>
  <si>
    <t>Ogółem
(9+13+15+16)</t>
  </si>
  <si>
    <t>Środki otrzymane od innych jednostek SFP o których mowa w art. 9 pkt 5-7 i 14 uofp</t>
  </si>
  <si>
    <t>Budżet Środków Europejskich</t>
  </si>
  <si>
    <t xml:space="preserve">Pozostałe środki </t>
  </si>
  <si>
    <t>Kwota dotacji</t>
  </si>
  <si>
    <t>Część budżetowa</t>
  </si>
  <si>
    <t>Dział klasyfikacji budżetowej</t>
  </si>
  <si>
    <t>Rozdział klasyfikacji budżetowej</t>
  </si>
  <si>
    <t>Kwota przekazanych środków</t>
  </si>
  <si>
    <t>Jednostka przekazująca</t>
  </si>
  <si>
    <t>13.1 3</t>
  </si>
  <si>
    <t>13.1.3.1</t>
  </si>
  <si>
    <t>13.1.3.2</t>
  </si>
  <si>
    <t>13.1.3.4</t>
  </si>
  <si>
    <t>14.1</t>
  </si>
  <si>
    <t>14.1.5</t>
  </si>
  <si>
    <t>14.1.5.1</t>
  </si>
  <si>
    <t>14.1.5.2</t>
  </si>
  <si>
    <t>Liczba osób niepełnosprawnych prowadzących działalność gospodarczą/rolniczą, objętych wsparciem w liczbie osób niepełnosprawnych prowadzących działalność gospodarczą/rolniczą, objętych wsparciem w poprzednim okresie sprawozdawczym</t>
  </si>
  <si>
    <t>14.1.5.3</t>
  </si>
  <si>
    <t xml:space="preserve">          (imię i nazwisko, stanowisko służbowe)</t>
  </si>
  <si>
    <t>data .........................              podpis .........................</t>
  </si>
  <si>
    <t>44</t>
  </si>
  <si>
    <t>Program podnoszenia świadomości społecznej językiem filmowym - Głęboka Woda III</t>
  </si>
  <si>
    <t>- opłaty z tytułu zakupu usług telekomunikacyjnych (od 01.01.2015)</t>
  </si>
  <si>
    <t>6110</t>
  </si>
  <si>
    <t>Program Wsparcia Centrów Sportu Niepełnosprawnych</t>
  </si>
  <si>
    <t>OION</t>
  </si>
  <si>
    <t>=B261</t>
  </si>
  <si>
    <t>PLAN po zmianach</t>
  </si>
  <si>
    <t>=D14</t>
  </si>
  <si>
    <t>różnice</t>
  </si>
  <si>
    <t>korekta</t>
  </si>
  <si>
    <t>Plan
 po zmianach
2015</t>
  </si>
  <si>
    <t>Ustawa</t>
  </si>
  <si>
    <t>Przewidywane</t>
  </si>
  <si>
    <t>Projekt</t>
  </si>
  <si>
    <t>budżetowa</t>
  </si>
  <si>
    <t>wykonanie</t>
  </si>
  <si>
    <t>planu</t>
  </si>
  <si>
    <t>na 2015 r.</t>
  </si>
  <si>
    <t>w 2015 r.</t>
  </si>
  <si>
    <t>na 2016 r.</t>
  </si>
  <si>
    <t>na 2017 r.</t>
  </si>
  <si>
    <t>na 2018 r.</t>
  </si>
  <si>
    <t>na 2019 r.</t>
  </si>
  <si>
    <t>…………………..</t>
  </si>
  <si>
    <t>……………………</t>
  </si>
  <si>
    <t>PRZELEWY REDYSTRYBUCYJNE</t>
  </si>
  <si>
    <t>DOTACJE</t>
  </si>
  <si>
    <t xml:space="preserve">Paragraf </t>
  </si>
  <si>
    <t>z tego dla:</t>
  </si>
  <si>
    <t>na realizację zadań bieżącyh, z tego dla:</t>
  </si>
  <si>
    <t>z tego od:</t>
  </si>
  <si>
    <t>ŚRODKI OTRZYMANE Z UNII EUROPEJSKIEJ</t>
  </si>
  <si>
    <t>- jednostek samorządu terytorialnego</t>
  </si>
  <si>
    <t>Część H Dane statystyczne</t>
  </si>
  <si>
    <t>2016/PW</t>
  </si>
  <si>
    <t>Załącznik nr 34</t>
  </si>
  <si>
    <t>4019</t>
  </si>
  <si>
    <t>4119</t>
  </si>
  <si>
    <t>4129</t>
  </si>
  <si>
    <t>4309</t>
  </si>
  <si>
    <t>4010-4019</t>
  </si>
  <si>
    <t>4110-4119</t>
  </si>
  <si>
    <t>- pozostałe usługi obce ue</t>
  </si>
  <si>
    <t>6120-6129</t>
  </si>
  <si>
    <t>- pozostałe usługi obce eu</t>
  </si>
  <si>
    <t>Stan funduszu na koniec 2019 roku powiększają wydatki inwestycyjne własne i zakupy inwestycyjne własne w kwocie</t>
  </si>
  <si>
    <t>pod zadaniowy 1tys w góre</t>
  </si>
  <si>
    <t>4120-4129</t>
  </si>
  <si>
    <t>PROJEKT</t>
  </si>
  <si>
    <t>4110-4019</t>
  </si>
  <si>
    <t>6110-6120; 6129</t>
  </si>
  <si>
    <t>Wersja I - UE w kosztach
wynagr. 10 mln</t>
  </si>
  <si>
    <t>inwestycyjne, z tego dla:</t>
  </si>
  <si>
    <t>jednostek sektora finansów publicznych</t>
  </si>
  <si>
    <t>jednostek niezaliczanych do sektora finansów publicznych</t>
  </si>
  <si>
    <t>%</t>
  </si>
  <si>
    <t>2440-2449</t>
  </si>
  <si>
    <t>jednostek sektora finansów publicznych, z tego:</t>
  </si>
  <si>
    <t>1.1.3</t>
  </si>
  <si>
    <t>1.1.4</t>
  </si>
  <si>
    <t>2.1.1</t>
  </si>
  <si>
    <t>2.1.2</t>
  </si>
  <si>
    <t>2.1.3</t>
  </si>
  <si>
    <t>2.1.4</t>
  </si>
  <si>
    <t>- organy administracji rządowej</t>
  </si>
  <si>
    <t xml:space="preserve">- jednostki samorządu terytorialnego </t>
  </si>
  <si>
    <t>- uczelnie publiczne</t>
  </si>
  <si>
    <t>- państwowe fundusze celowe (Państwowy Fundusz Rehabilitacji Osób Niepełnosprawnych)</t>
  </si>
  <si>
    <t>4000</t>
  </si>
  <si>
    <t>2919</t>
  </si>
  <si>
    <t>13.5.3</t>
  </si>
  <si>
    <t>13.5.4</t>
  </si>
  <si>
    <t>Zmiany</t>
  </si>
  <si>
    <t>§ 244</t>
  </si>
  <si>
    <t>§ 245</t>
  </si>
  <si>
    <t>Transfery
§ 302, 
§ 303</t>
  </si>
  <si>
    <t>§ 626</t>
  </si>
  <si>
    <t>§ 627</t>
  </si>
  <si>
    <t>§ 296</t>
  </si>
  <si>
    <t>RAZEM</t>
  </si>
  <si>
    <t>Ogółem  MEMORIAŁ (kol.9+12)</t>
  </si>
  <si>
    <t>Plan - zadania ustawowe i programy zatwierdzone przez RN</t>
  </si>
  <si>
    <t>zmiany</t>
  </si>
  <si>
    <t>Po zmianach zadania ustawowe i programy zatwierdzone przez RN</t>
  </si>
  <si>
    <t>Ogółem
(18+22+24+25)</t>
  </si>
  <si>
    <t>Ogółem
(27+31+33+34)</t>
  </si>
  <si>
    <t>Wydatki Państwowego Funduszu Rehabilitacji Osób Niepełnosprawnych w układzie zadaniowym w 2016 roku</t>
  </si>
  <si>
    <t>Wartość bazowa (2014r.)</t>
  </si>
  <si>
    <t>Przeciwdziałanie wykluczeniu społecznemu osób niepełnosprawnych</t>
  </si>
  <si>
    <t>Brak</t>
  </si>
  <si>
    <t xml:space="preserve">Wyrównywanie szans zawodowych i integracja społeczna osób niepełnosprawnych </t>
  </si>
  <si>
    <t>Zwiększenie aktywności zawodowej osób niepełnosprawnych</t>
  </si>
  <si>
    <t xml:space="preserve">Wskaźnik zatrudnienia osób niepełnosprawnych w wieku produkcyjnym </t>
  </si>
  <si>
    <t>Wspieranie zatrudnienia i przeciwdziałanie bezrobociu osób niepełnosprawnych</t>
  </si>
  <si>
    <t>Wspiercie osób niepełnosprawnych prowadzacych własna działalność gospogarczą oraz niepełnosprawnych rolników</t>
  </si>
  <si>
    <t>Koordynacja i wspieranie rehabilitacji zawodowej realizowanej przez jst</t>
  </si>
  <si>
    <t xml:space="preserve">Planowane wydatki w 2016 r. </t>
  </si>
  <si>
    <t>wersja kasowa</t>
  </si>
  <si>
    <t>sporządził Dominik Żak, Główny Specjalista ds. planowania i sprawozdawczości</t>
  </si>
  <si>
    <t>nr telefonu 22   50 55 398    adres e-mail Dominik_Zak@pfron.org.pl</t>
  </si>
  <si>
    <t xml:space="preserve">sporządził </t>
  </si>
  <si>
    <t xml:space="preserve">nr telefonu 22   50 55      adres e-mail </t>
  </si>
  <si>
    <t>"Partnerstwo dla osób z niepełnosprawnościami"</t>
  </si>
  <si>
    <t>0570</t>
  </si>
  <si>
    <t>0580</t>
  </si>
  <si>
    <t>- wpływy z tytułu grzywien i innych kar pieniężnych od osób fizycznych</t>
  </si>
  <si>
    <t>- wpływy z tytułu grzywien i innych kar pieniężnych od osób prawnych i innych jednostek organizacyjnych</t>
  </si>
  <si>
    <t>5.9</t>
  </si>
  <si>
    <t>5.10</t>
  </si>
  <si>
    <t xml:space="preserve">Załącznik do Wystąpienia
nr WEF/3/DP/2016 
z dnia 10 marca 2016 r.  </t>
  </si>
  <si>
    <t>"Partnerstwo dla osób z niepełnosprawnościami" - program współpracy z Zarządami Województw w celu wpółfinansowania projektów organizacji pozarządowych wyłonionych przez Zarządy Województw w ramach Regionalnych Programów Operacyjnych</t>
  </si>
  <si>
    <t>Plan wg Ustawy Budżetowej 
na</t>
  </si>
  <si>
    <t xml:space="preserve">                                            BUDŻET PAŃSTWA NA 2016 r.</t>
  </si>
  <si>
    <t xml:space="preserve">Załącznik nr 1 
do Uchwały nr          /2016 
Zarządu PFRON
z dnia                kwietnia 2016 r.  </t>
  </si>
  <si>
    <t>4219-4409</t>
  </si>
  <si>
    <t>ue</t>
  </si>
  <si>
    <t>4217-4407</t>
  </si>
  <si>
    <t>4417-4747</t>
  </si>
  <si>
    <t xml:space="preserve">  - zakup usług - środki na zadania ustawowe (bez współfinansowania)</t>
  </si>
  <si>
    <t>12.1</t>
  </si>
  <si>
    <t>12.2</t>
  </si>
  <si>
    <t>12.3</t>
  </si>
  <si>
    <t>12.4</t>
  </si>
  <si>
    <t>12.5</t>
  </si>
  <si>
    <t>12.6</t>
  </si>
  <si>
    <t>12.6.1</t>
  </si>
  <si>
    <t>12.6.2</t>
  </si>
  <si>
    <t>12.7</t>
  </si>
  <si>
    <t>Plan 
po zmianach</t>
  </si>
  <si>
    <t>Stan funduszu na koniec 2016 roku w kolumnie "Plan po zmianach" powiększają wydatki inwestycyjne własne i zakupy inwestycyjne własne w kwocie 45.489 tys. zł</t>
  </si>
  <si>
    <t xml:space="preserve"> PLAN FINANSOWY PAŃSTWOWEGO FUNDUSZU REHABILITACJI OSÓB NIEPEŁNOSPRAWNYCH</t>
  </si>
  <si>
    <t>Plan  
na 2016 r.</t>
  </si>
  <si>
    <t>Stan funduszu na koniec roku (I+II-III) *</t>
  </si>
  <si>
    <t>*</t>
  </si>
  <si>
    <t>Stan funduszu na koniec 2016 roku w kolumnie "Plan na 2016 r." powiększają wydatki inwestycyjne własne i zakupy inwestycyjne własne w kwocie 45.900 tys. zł</t>
  </si>
  <si>
    <t xml:space="preserve">Plan  
na 2016 r. </t>
  </si>
  <si>
    <t xml:space="preserve">Plan wg. Ustawy Budżetowej zmieniony za zgodą MF z dnia 
28 kwietnia 2016 r. oraz 
opinią KFP z dnia 28 kwietnia 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</si>
</sst>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(&quot;#,##0\)"/>
    <numFmt numFmtId="166" formatCode="0\ \ "/>
    <numFmt numFmtId="167" formatCode="0.0"/>
    <numFmt numFmtId="168" formatCode="#,##0,"/>
    <numFmt numFmtId="169" formatCode="#,##0.00000"/>
  </numFmts>
  <fonts count="97"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2"/>
      <name val="Calibri"/>
      <family val="2"/>
      <charset val="238"/>
    </font>
    <font>
      <i/>
      <sz val="8"/>
      <name val="Calibri"/>
      <family val="2"/>
      <charset val="238"/>
    </font>
    <font>
      <i/>
      <sz val="10"/>
      <name val="Calibri"/>
      <family val="2"/>
      <charset val="238"/>
    </font>
    <font>
      <i/>
      <sz val="11"/>
      <name val="Times New Roman CE"/>
      <family val="1"/>
      <charset val="238"/>
    </font>
    <font>
      <i/>
      <sz val="12"/>
      <color indexed="22"/>
      <name val="Times New Roman CE"/>
      <family val="1"/>
      <charset val="238"/>
    </font>
    <font>
      <sz val="14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sz val="18"/>
      <name val="Calibri"/>
      <family val="2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trike/>
      <sz val="12"/>
      <name val="Calibri"/>
      <family val="2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62"/>
      <name val="Times New Roman CE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PL"/>
    </font>
    <font>
      <sz val="10"/>
      <name val="MS Sans Serif"/>
      <family val="2"/>
      <charset val="238"/>
    </font>
    <font>
      <b/>
      <sz val="14"/>
      <name val="Calibri"/>
      <family val="2"/>
      <charset val="238"/>
    </font>
    <font>
      <sz val="7"/>
      <name val="Arial"/>
      <family val="2"/>
    </font>
    <font>
      <sz val="8"/>
      <name val="Arial"/>
      <family val="2"/>
      <charset val="238"/>
    </font>
    <font>
      <b/>
      <sz val="7"/>
      <name val="Arial"/>
      <family val="2"/>
    </font>
    <font>
      <b/>
      <sz val="7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6"/>
      <name val="Calibri"/>
      <family val="2"/>
      <charset val="238"/>
    </font>
    <font>
      <sz val="14"/>
      <color indexed="9"/>
      <name val="Calibri"/>
      <family val="2"/>
      <charset val="238"/>
    </font>
    <font>
      <i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8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1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i/>
      <sz val="12"/>
      <color theme="0"/>
      <name val="Calibri"/>
      <family val="2"/>
      <charset val="238"/>
    </font>
    <font>
      <i/>
      <sz val="8"/>
      <color theme="0"/>
      <name val="Calibri"/>
      <family val="2"/>
      <charset val="238"/>
    </font>
    <font>
      <i/>
      <sz val="10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7"/>
      <color rgb="FFFF0000"/>
      <name val="Arial"/>
      <family val="2"/>
    </font>
    <font>
      <sz val="7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4"/>
      </patternFill>
    </fill>
    <fill>
      <patternFill patternType="solid">
        <fgColor indexed="26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9" tint="0.39997558519241921"/>
        <bgColor indexed="36"/>
      </patternFill>
    </fill>
    <fill>
      <patternFill patternType="solid">
        <fgColor rgb="FF00B050"/>
        <bgColor indexed="31"/>
      </patternFill>
    </fill>
    <fill>
      <patternFill patternType="solid">
        <fgColor rgb="FF00B0F0"/>
        <bgColor indexed="21"/>
      </patternFill>
    </fill>
    <fill>
      <patternFill patternType="solid">
        <fgColor rgb="FF00B0F0"/>
        <bgColor indexed="2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24"/>
      </patternFill>
    </fill>
    <fill>
      <patternFill patternType="solid">
        <fgColor rgb="FF00B0F0"/>
        <bgColor indexed="27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0"/>
        <bgColor indexed="4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1"/>
      </patternFill>
    </fill>
    <fill>
      <patternFill patternType="solid">
        <fgColor rgb="FFFFFF00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theme="0" tint="-0.24994659260841701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59999389629810485"/>
        <bgColor indexed="27"/>
      </patternFill>
    </fill>
    <fill>
      <patternFill patternType="solid">
        <fgColor theme="3" tint="0.59999389629810485"/>
        <bgColor indexed="3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9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35" fillId="0" borderId="0"/>
    <xf numFmtId="0" fontId="42" fillId="0" borderId="0"/>
    <xf numFmtId="0" fontId="41" fillId="0" borderId="0"/>
    <xf numFmtId="0" fontId="31" fillId="0" borderId="0"/>
    <xf numFmtId="0" fontId="31" fillId="0" borderId="0"/>
  </cellStyleXfs>
  <cellXfs count="2388">
    <xf numFmtId="0" fontId="0" fillId="0" borderId="0" xfId="0"/>
    <xf numFmtId="0" fontId="0" fillId="2" borderId="0" xfId="0" applyFont="1" applyFill="1"/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64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ill="1" applyBorder="1"/>
    <xf numFmtId="3" fontId="24" fillId="0" borderId="0" xfId="0" applyNumberFormat="1" applyFont="1" applyFill="1" applyBorder="1"/>
    <xf numFmtId="3" fontId="25" fillId="0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3" fontId="0" fillId="2" borderId="2" xfId="0" applyNumberFormat="1" applyFill="1" applyBorder="1"/>
    <xf numFmtId="3" fontId="2" fillId="0" borderId="2" xfId="0" applyNumberFormat="1" applyFont="1" applyFill="1" applyBorder="1"/>
    <xf numFmtId="0" fontId="0" fillId="0" borderId="3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Fill="1" applyBorder="1"/>
    <xf numFmtId="3" fontId="0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4" fontId="0" fillId="0" borderId="0" xfId="0" applyNumberFormat="1"/>
    <xf numFmtId="3" fontId="2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/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left"/>
    </xf>
    <xf numFmtId="3" fontId="0" fillId="0" borderId="6" xfId="0" applyNumberFormat="1" applyFill="1" applyBorder="1"/>
    <xf numFmtId="4" fontId="0" fillId="0" borderId="6" xfId="0" applyNumberFormat="1" applyFont="1" applyFill="1" applyBorder="1"/>
    <xf numFmtId="4" fontId="2" fillId="0" borderId="6" xfId="0" applyNumberFormat="1" applyFont="1" applyFill="1" applyBorder="1"/>
    <xf numFmtId="4" fontId="2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4" fontId="0" fillId="2" borderId="2" xfId="0" applyNumberFormat="1" applyFill="1" applyBorder="1"/>
    <xf numFmtId="4" fontId="2" fillId="0" borderId="9" xfId="0" applyNumberFormat="1" applyFont="1" applyFill="1" applyBorder="1"/>
    <xf numFmtId="4" fontId="24" fillId="0" borderId="6" xfId="0" applyNumberFormat="1" applyFont="1" applyFill="1" applyBorder="1"/>
    <xf numFmtId="4" fontId="25" fillId="0" borderId="6" xfId="0" applyNumberFormat="1" applyFont="1" applyFill="1" applyBorder="1"/>
    <xf numFmtId="0" fontId="2" fillId="0" borderId="10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" fontId="25" fillId="0" borderId="1" xfId="0" applyNumberFormat="1" applyFont="1" applyFill="1" applyBorder="1"/>
    <xf numFmtId="4" fontId="2" fillId="2" borderId="11" xfId="0" applyNumberFormat="1" applyFont="1" applyFill="1" applyBorder="1" applyAlignment="1">
      <alignment horizontal="right"/>
    </xf>
    <xf numFmtId="3" fontId="0" fillId="0" borderId="12" xfId="0" applyNumberFormat="1" applyFill="1" applyBorder="1"/>
    <xf numFmtId="3" fontId="2" fillId="0" borderId="13" xfId="0" applyNumberFormat="1" applyFont="1" applyFill="1" applyBorder="1"/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left"/>
    </xf>
    <xf numFmtId="3" fontId="0" fillId="0" borderId="14" xfId="0" applyNumberFormat="1" applyFill="1" applyBorder="1"/>
    <xf numFmtId="4" fontId="24" fillId="0" borderId="14" xfId="0" applyNumberFormat="1" applyFont="1" applyFill="1" applyBorder="1"/>
    <xf numFmtId="4" fontId="25" fillId="0" borderId="14" xfId="0" applyNumberFormat="1" applyFont="1" applyFill="1" applyBorder="1"/>
    <xf numFmtId="4" fontId="2" fillId="2" borderId="14" xfId="0" applyNumberFormat="1" applyFont="1" applyFill="1" applyBorder="1" applyAlignment="1">
      <alignment horizontal="right"/>
    </xf>
    <xf numFmtId="4" fontId="2" fillId="0" borderId="2" xfId="0" applyNumberFormat="1" applyFont="1" applyFill="1" applyBorder="1"/>
    <xf numFmtId="3" fontId="24" fillId="0" borderId="4" xfId="0" applyNumberFormat="1" applyFont="1" applyFill="1" applyBorder="1"/>
    <xf numFmtId="3" fontId="25" fillId="0" borderId="4" xfId="0" applyNumberFormat="1" applyFont="1" applyFill="1" applyBorder="1"/>
    <xf numFmtId="0" fontId="0" fillId="0" borderId="6" xfId="0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4" fontId="0" fillId="2" borderId="1" xfId="0" applyNumberFormat="1" applyFill="1" applyBorder="1"/>
    <xf numFmtId="4" fontId="2" fillId="0" borderId="1" xfId="0" applyNumberFormat="1" applyFont="1" applyFill="1" applyBorder="1"/>
    <xf numFmtId="3" fontId="0" fillId="0" borderId="4" xfId="0" applyNumberFormat="1" applyFill="1" applyBorder="1"/>
    <xf numFmtId="3" fontId="2" fillId="0" borderId="15" xfId="0" applyNumberFormat="1" applyFont="1" applyFill="1" applyBorder="1"/>
    <xf numFmtId="0" fontId="0" fillId="0" borderId="14" xfId="0" applyBorder="1"/>
    <xf numFmtId="3" fontId="0" fillId="0" borderId="14" xfId="0" applyNumberFormat="1" applyBorder="1"/>
    <xf numFmtId="3" fontId="0" fillId="0" borderId="14" xfId="0" applyNumberFormat="1" applyFont="1" applyBorder="1"/>
    <xf numFmtId="164" fontId="0" fillId="0" borderId="0" xfId="0" applyNumberFormat="1"/>
    <xf numFmtId="164" fontId="0" fillId="0" borderId="0" xfId="0" applyNumberFormat="1" applyFont="1"/>
    <xf numFmtId="0" fontId="0" fillId="2" borderId="0" xfId="0" applyFill="1" applyAlignment="1">
      <alignment horizontal="right"/>
    </xf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164" fontId="2" fillId="2" borderId="0" xfId="0" applyNumberFormat="1" applyFont="1" applyFill="1"/>
    <xf numFmtId="164" fontId="0" fillId="2" borderId="0" xfId="0" applyNumberFormat="1" applyFill="1" applyAlignment="1">
      <alignment horizontal="righ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164" fontId="0" fillId="2" borderId="2" xfId="0" applyNumberFormat="1" applyFill="1" applyBorder="1"/>
    <xf numFmtId="164" fontId="2" fillId="0" borderId="2" xfId="0" applyNumberFormat="1" applyFont="1" applyFill="1" applyBorder="1"/>
    <xf numFmtId="3" fontId="0" fillId="0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4" fontId="7" fillId="0" borderId="6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3" fontId="0" fillId="2" borderId="4" xfId="0" applyNumberFormat="1" applyFont="1" applyFill="1" applyBorder="1"/>
    <xf numFmtId="4" fontId="24" fillId="0" borderId="6" xfId="0" applyNumberFormat="1" applyFont="1" applyFill="1" applyBorder="1" applyAlignment="1">
      <alignment horizontal="right"/>
    </xf>
    <xf numFmtId="4" fontId="25" fillId="0" borderId="6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3" fontId="24" fillId="0" borderId="4" xfId="0" applyNumberFormat="1" applyFont="1" applyFill="1" applyBorder="1" applyAlignment="1"/>
    <xf numFmtId="3" fontId="25" fillId="0" borderId="4" xfId="0" applyNumberFormat="1" applyFont="1" applyFill="1" applyBorder="1" applyAlignment="1"/>
    <xf numFmtId="4" fontId="2" fillId="2" borderId="7" xfId="0" applyNumberFormat="1" applyFont="1" applyFill="1" applyBorder="1"/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/>
    <xf numFmtId="0" fontId="0" fillId="0" borderId="16" xfId="0" applyBorder="1" applyAlignment="1">
      <alignment horizontal="right"/>
    </xf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/>
    <xf numFmtId="4" fontId="2" fillId="2" borderId="6" xfId="0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left"/>
    </xf>
    <xf numFmtId="164" fontId="0" fillId="0" borderId="14" xfId="0" applyNumberFormat="1" applyBorder="1"/>
    <xf numFmtId="164" fontId="0" fillId="0" borderId="14" xfId="0" applyNumberFormat="1" applyFon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57" fillId="2" borderId="0" xfId="0" applyFont="1" applyFill="1"/>
    <xf numFmtId="0" fontId="58" fillId="2" borderId="0" xfId="0" applyFont="1" applyFill="1"/>
    <xf numFmtId="49" fontId="59" fillId="2" borderId="0" xfId="0" applyNumberFormat="1" applyFont="1" applyFill="1"/>
    <xf numFmtId="0" fontId="59" fillId="2" borderId="0" xfId="0" applyFont="1" applyFill="1"/>
    <xf numFmtId="49" fontId="57" fillId="2" borderId="0" xfId="0" applyNumberFormat="1" applyFont="1" applyFill="1" applyAlignment="1">
      <alignment horizontal="left"/>
    </xf>
    <xf numFmtId="0" fontId="60" fillId="17" borderId="0" xfId="0" applyFont="1" applyFill="1" applyAlignment="1">
      <alignment horizontal="center"/>
    </xf>
    <xf numFmtId="0" fontId="61" fillId="2" borderId="0" xfId="0" applyFont="1" applyFill="1" applyAlignment="1">
      <alignment horizontal="center"/>
    </xf>
    <xf numFmtId="49" fontId="62" fillId="2" borderId="18" xfId="0" applyNumberFormat="1" applyFont="1" applyFill="1" applyBorder="1" applyAlignment="1">
      <alignment horizontal="center" vertical="center" wrapText="1"/>
    </xf>
    <xf numFmtId="0" fontId="60" fillId="18" borderId="0" xfId="0" applyFont="1" applyFill="1"/>
    <xf numFmtId="0" fontId="63" fillId="2" borderId="0" xfId="0" applyFont="1" applyFill="1"/>
    <xf numFmtId="0" fontId="63" fillId="3" borderId="19" xfId="0" applyFont="1" applyFill="1" applyBorder="1"/>
    <xf numFmtId="0" fontId="63" fillId="2" borderId="19" xfId="0" applyFont="1" applyFill="1" applyBorder="1"/>
    <xf numFmtId="0" fontId="63" fillId="2" borderId="19" xfId="0" applyFont="1" applyFill="1" applyBorder="1" applyAlignment="1">
      <alignment horizontal="center"/>
    </xf>
    <xf numFmtId="0" fontId="63" fillId="2" borderId="20" xfId="0" applyFont="1" applyFill="1" applyBorder="1" applyAlignment="1">
      <alignment horizontal="center"/>
    </xf>
    <xf numFmtId="0" fontId="64" fillId="2" borderId="21" xfId="0" applyFont="1" applyFill="1" applyBorder="1" applyAlignment="1">
      <alignment horizontal="center"/>
    </xf>
    <xf numFmtId="3" fontId="65" fillId="3" borderId="19" xfId="0" applyNumberFormat="1" applyFont="1" applyFill="1" applyBorder="1" applyAlignment="1">
      <alignment vertical="center"/>
    </xf>
    <xf numFmtId="0" fontId="63" fillId="3" borderId="0" xfId="0" applyFont="1" applyFill="1" applyBorder="1"/>
    <xf numFmtId="49" fontId="59" fillId="2" borderId="22" xfId="0" applyNumberFormat="1" applyFont="1" applyFill="1" applyBorder="1" applyAlignment="1">
      <alignment horizontal="left" vertical="center"/>
    </xf>
    <xf numFmtId="0" fontId="63" fillId="2" borderId="0" xfId="0" applyFont="1" applyFill="1" applyBorder="1"/>
    <xf numFmtId="0" fontId="66" fillId="2" borderId="0" xfId="0" applyFont="1" applyFill="1"/>
    <xf numFmtId="0" fontId="59" fillId="2" borderId="0" xfId="0" applyFont="1" applyFill="1" applyAlignment="1">
      <alignment horizontal="left"/>
    </xf>
    <xf numFmtId="0" fontId="60" fillId="4" borderId="0" xfId="0" applyFont="1" applyFill="1" applyAlignment="1">
      <alignment horizontal="center"/>
    </xf>
    <xf numFmtId="0" fontId="67" fillId="2" borderId="0" xfId="0" applyFont="1" applyFill="1"/>
    <xf numFmtId="49" fontId="60" fillId="17" borderId="23" xfId="0" applyNumberFormat="1" applyFont="1" applyFill="1" applyBorder="1" applyAlignment="1">
      <alignment horizontal="left"/>
    </xf>
    <xf numFmtId="0" fontId="60" fillId="17" borderId="24" xfId="0" applyFont="1" applyFill="1" applyBorder="1" applyAlignment="1">
      <alignment horizontal="left"/>
    </xf>
    <xf numFmtId="49" fontId="60" fillId="17" borderId="25" xfId="0" applyNumberFormat="1" applyFont="1" applyFill="1" applyBorder="1" applyAlignment="1">
      <alignment horizontal="center"/>
    </xf>
    <xf numFmtId="0" fontId="60" fillId="17" borderId="0" xfId="0" applyFont="1" applyFill="1"/>
    <xf numFmtId="0" fontId="63" fillId="2" borderId="26" xfId="0" applyFont="1" applyFill="1" applyBorder="1" applyAlignment="1">
      <alignment horizontal="left"/>
    </xf>
    <xf numFmtId="49" fontId="67" fillId="2" borderId="0" xfId="0" applyNumberFormat="1" applyFont="1" applyFill="1" applyBorder="1" applyAlignment="1">
      <alignment horizontal="center"/>
    </xf>
    <xf numFmtId="2" fontId="67" fillId="2" borderId="0" xfId="0" applyNumberFormat="1" applyFont="1" applyFill="1"/>
    <xf numFmtId="0" fontId="68" fillId="2" borderId="0" xfId="0" applyFont="1" applyFill="1"/>
    <xf numFmtId="49" fontId="67" fillId="2" borderId="18" xfId="0" applyNumberFormat="1" applyFont="1" applyFill="1" applyBorder="1" applyAlignment="1">
      <alignment horizontal="left"/>
    </xf>
    <xf numFmtId="0" fontId="67" fillId="2" borderId="26" xfId="0" applyFont="1" applyFill="1" applyBorder="1" applyAlignment="1">
      <alignment horizontal="left" indent="1"/>
    </xf>
    <xf numFmtId="0" fontId="67" fillId="2" borderId="26" xfId="0" applyFont="1" applyFill="1" applyBorder="1" applyAlignment="1">
      <alignment horizontal="left" wrapText="1" indent="1"/>
    </xf>
    <xf numFmtId="0" fontId="67" fillId="2" borderId="26" xfId="0" applyFont="1" applyFill="1" applyBorder="1" applyAlignment="1">
      <alignment horizontal="left" wrapText="1" indent="3"/>
    </xf>
    <xf numFmtId="49" fontId="69" fillId="19" borderId="27" xfId="0" applyNumberFormat="1" applyFont="1" applyFill="1" applyBorder="1" applyAlignment="1">
      <alignment horizontal="left"/>
    </xf>
    <xf numFmtId="49" fontId="59" fillId="19" borderId="27" xfId="0" applyNumberFormat="1" applyFont="1" applyFill="1" applyBorder="1" applyAlignment="1">
      <alignment horizontal="left"/>
    </xf>
    <xf numFmtId="49" fontId="69" fillId="19" borderId="28" xfId="0" applyNumberFormat="1" applyFont="1" applyFill="1" applyBorder="1" applyAlignment="1">
      <alignment horizontal="center"/>
    </xf>
    <xf numFmtId="0" fontId="67" fillId="19" borderId="0" xfId="0" applyFont="1" applyFill="1"/>
    <xf numFmtId="49" fontId="67" fillId="2" borderId="26" xfId="0" applyNumberFormat="1" applyFont="1" applyFill="1" applyBorder="1" applyAlignment="1">
      <alignment horizontal="left" wrapText="1" indent="1"/>
    </xf>
    <xf numFmtId="49" fontId="60" fillId="17" borderId="29" xfId="0" applyNumberFormat="1" applyFont="1" applyFill="1" applyBorder="1" applyAlignment="1">
      <alignment horizontal="left"/>
    </xf>
    <xf numFmtId="0" fontId="60" fillId="17" borderId="30" xfId="0" applyFont="1" applyFill="1" applyBorder="1" applyAlignment="1">
      <alignment horizontal="left"/>
    </xf>
    <xf numFmtId="49" fontId="60" fillId="17" borderId="2" xfId="0" applyNumberFormat="1" applyFont="1" applyFill="1" applyBorder="1" applyAlignment="1">
      <alignment horizontal="center"/>
    </xf>
    <xf numFmtId="0" fontId="61" fillId="2" borderId="0" xfId="0" applyFont="1" applyFill="1"/>
    <xf numFmtId="0" fontId="69" fillId="19" borderId="31" xfId="0" applyFont="1" applyFill="1" applyBorder="1" applyAlignment="1">
      <alignment horizontal="left"/>
    </xf>
    <xf numFmtId="49" fontId="69" fillId="19" borderId="32" xfId="0" applyNumberFormat="1" applyFont="1" applyFill="1" applyBorder="1" applyAlignment="1">
      <alignment horizontal="center"/>
    </xf>
    <xf numFmtId="0" fontId="69" fillId="19" borderId="32" xfId="0" applyFont="1" applyFill="1" applyBorder="1"/>
    <xf numFmtId="49" fontId="69" fillId="2" borderId="18" xfId="0" applyNumberFormat="1" applyFont="1" applyFill="1" applyBorder="1" applyAlignment="1">
      <alignment horizontal="left"/>
    </xf>
    <xf numFmtId="0" fontId="67" fillId="2" borderId="26" xfId="0" applyFont="1" applyFill="1" applyBorder="1" applyAlignment="1">
      <alignment horizontal="left"/>
    </xf>
    <xf numFmtId="49" fontId="59" fillId="2" borderId="0" xfId="0" applyNumberFormat="1" applyFont="1" applyFill="1" applyBorder="1" applyAlignment="1">
      <alignment horizontal="center"/>
    </xf>
    <xf numFmtId="0" fontId="69" fillId="2" borderId="0" xfId="0" applyFont="1" applyFill="1"/>
    <xf numFmtId="49" fontId="59" fillId="2" borderId="18" xfId="0" applyNumberFormat="1" applyFont="1" applyFill="1" applyBorder="1" applyAlignment="1">
      <alignment horizontal="left" vertical="top"/>
    </xf>
    <xf numFmtId="0" fontId="67" fillId="2" borderId="26" xfId="0" applyFont="1" applyFill="1" applyBorder="1" applyAlignment="1">
      <alignment horizontal="left" wrapText="1"/>
    </xf>
    <xf numFmtId="0" fontId="60" fillId="2" borderId="0" xfId="0" applyFont="1" applyFill="1"/>
    <xf numFmtId="49" fontId="59" fillId="2" borderId="18" xfId="0" applyNumberFormat="1" applyFont="1" applyFill="1" applyBorder="1" applyAlignment="1">
      <alignment horizontal="left"/>
    </xf>
    <xf numFmtId="2" fontId="60" fillId="2" borderId="21" xfId="0" applyNumberFormat="1" applyFont="1" applyFill="1" applyBorder="1" applyAlignment="1">
      <alignment horizontal="center"/>
    </xf>
    <xf numFmtId="49" fontId="69" fillId="2" borderId="18" xfId="0" applyNumberFormat="1" applyFont="1" applyFill="1" applyBorder="1" applyAlignment="1">
      <alignment horizontal="left" vertical="center"/>
    </xf>
    <xf numFmtId="0" fontId="69" fillId="2" borderId="26" xfId="0" applyFont="1" applyFill="1" applyBorder="1" applyAlignment="1">
      <alignment horizontal="left" vertical="center"/>
    </xf>
    <xf numFmtId="49" fontId="69" fillId="2" borderId="0" xfId="0" applyNumberFormat="1" applyFont="1" applyFill="1" applyBorder="1" applyAlignment="1">
      <alignment horizontal="center" vertical="center"/>
    </xf>
    <xf numFmtId="49" fontId="69" fillId="2" borderId="0" xfId="0" applyNumberFormat="1" applyFont="1" applyFill="1" applyBorder="1" applyAlignment="1">
      <alignment horizontal="center"/>
    </xf>
    <xf numFmtId="0" fontId="69" fillId="2" borderId="26" xfId="0" applyFont="1" applyFill="1" applyBorder="1" applyAlignment="1">
      <alignment horizontal="left" wrapText="1"/>
    </xf>
    <xf numFmtId="49" fontId="67" fillId="2" borderId="26" xfId="0" applyNumberFormat="1" applyFont="1" applyFill="1" applyBorder="1" applyAlignment="1">
      <alignment horizontal="left" indent="2"/>
    </xf>
    <xf numFmtId="0" fontId="70" fillId="2" borderId="0" xfId="0" applyFont="1" applyFill="1" applyBorder="1"/>
    <xf numFmtId="0" fontId="66" fillId="2" borderId="0" xfId="0" applyFont="1" applyFill="1" applyBorder="1"/>
    <xf numFmtId="49" fontId="67" fillId="19" borderId="27" xfId="0" applyNumberFormat="1" applyFont="1" applyFill="1" applyBorder="1" applyAlignment="1">
      <alignment horizontal="left"/>
    </xf>
    <xf numFmtId="0" fontId="67" fillId="19" borderId="31" xfId="0" applyFont="1" applyFill="1" applyBorder="1" applyAlignment="1">
      <alignment horizontal="left"/>
    </xf>
    <xf numFmtId="49" fontId="67" fillId="19" borderId="32" xfId="0" applyNumberFormat="1" applyFont="1" applyFill="1" applyBorder="1" applyAlignment="1">
      <alignment horizontal="center"/>
    </xf>
    <xf numFmtId="0" fontId="67" fillId="19" borderId="32" xfId="0" applyFont="1" applyFill="1" applyBorder="1"/>
    <xf numFmtId="0" fontId="67" fillId="19" borderId="31" xfId="0" applyFont="1" applyFill="1" applyBorder="1" applyAlignment="1">
      <alignment horizontal="left" indent="1"/>
    </xf>
    <xf numFmtId="49" fontId="67" fillId="2" borderId="26" xfId="0" applyNumberFormat="1" applyFont="1" applyFill="1" applyBorder="1" applyAlignment="1">
      <alignment horizontal="left" wrapText="1" indent="2"/>
    </xf>
    <xf numFmtId="49" fontId="67" fillId="19" borderId="31" xfId="0" applyNumberFormat="1" applyFont="1" applyFill="1" applyBorder="1" applyAlignment="1">
      <alignment horizontal="left" wrapText="1" indent="2"/>
    </xf>
    <xf numFmtId="0" fontId="59" fillId="19" borderId="32" xfId="0" applyFont="1" applyFill="1" applyBorder="1"/>
    <xf numFmtId="49" fontId="67" fillId="2" borderId="26" xfId="0" applyNumberFormat="1" applyFont="1" applyFill="1" applyBorder="1" applyAlignment="1">
      <alignment horizontal="left" indent="5"/>
    </xf>
    <xf numFmtId="49" fontId="67" fillId="19" borderId="31" xfId="0" applyNumberFormat="1" applyFont="1" applyFill="1" applyBorder="1" applyAlignment="1">
      <alignment horizontal="left" indent="2"/>
    </xf>
    <xf numFmtId="49" fontId="67" fillId="2" borderId="26" xfId="0" applyNumberFormat="1" applyFont="1" applyFill="1" applyBorder="1" applyAlignment="1">
      <alignment vertical="center" wrapText="1"/>
    </xf>
    <xf numFmtId="49" fontId="67" fillId="2" borderId="26" xfId="0" applyNumberFormat="1" applyFont="1" applyFill="1" applyBorder="1" applyAlignment="1">
      <alignment horizontal="left" indent="1"/>
    </xf>
    <xf numFmtId="49" fontId="67" fillId="2" borderId="32" xfId="0" applyNumberFormat="1" applyFont="1" applyFill="1" applyBorder="1" applyAlignment="1">
      <alignment horizontal="center"/>
    </xf>
    <xf numFmtId="0" fontId="69" fillId="2" borderId="32" xfId="0" applyFont="1" applyFill="1" applyBorder="1"/>
    <xf numFmtId="49" fontId="67" fillId="19" borderId="31" xfId="0" applyNumberFormat="1" applyFont="1" applyFill="1" applyBorder="1" applyAlignment="1">
      <alignment horizontal="left" wrapText="1" indent="3"/>
    </xf>
    <xf numFmtId="0" fontId="67" fillId="2" borderId="26" xfId="0" applyFont="1" applyFill="1" applyBorder="1" applyAlignment="1">
      <alignment horizontal="left" indent="3"/>
    </xf>
    <xf numFmtId="49" fontId="69" fillId="19" borderId="22" xfId="0" applyNumberFormat="1" applyFont="1" applyFill="1" applyBorder="1" applyAlignment="1">
      <alignment horizontal="left"/>
    </xf>
    <xf numFmtId="0" fontId="69" fillId="19" borderId="33" xfId="0" applyFont="1" applyFill="1" applyBorder="1" applyAlignment="1">
      <alignment horizontal="left"/>
    </xf>
    <xf numFmtId="0" fontId="69" fillId="19" borderId="34" xfId="0" applyFont="1" applyFill="1" applyBorder="1"/>
    <xf numFmtId="0" fontId="63" fillId="19" borderId="35" xfId="0" applyFont="1" applyFill="1" applyBorder="1" applyAlignment="1">
      <alignment horizontal="left"/>
    </xf>
    <xf numFmtId="0" fontId="63" fillId="19" borderId="36" xfId="0" applyFont="1" applyFill="1" applyBorder="1"/>
    <xf numFmtId="0" fontId="67" fillId="19" borderId="31" xfId="0" applyFont="1" applyFill="1" applyBorder="1" applyAlignment="1">
      <alignment horizontal="left" indent="3"/>
    </xf>
    <xf numFmtId="49" fontId="67" fillId="2" borderId="22" xfId="0" applyNumberFormat="1" applyFont="1" applyFill="1" applyBorder="1" applyAlignment="1">
      <alignment horizontal="left" indent="3"/>
    </xf>
    <xf numFmtId="49" fontId="67" fillId="2" borderId="22" xfId="0" applyNumberFormat="1" applyFont="1" applyFill="1" applyBorder="1" applyAlignment="1">
      <alignment horizontal="center"/>
    </xf>
    <xf numFmtId="0" fontId="59" fillId="5" borderId="27" xfId="0" applyFont="1" applyFill="1" applyBorder="1"/>
    <xf numFmtId="49" fontId="67" fillId="2" borderId="26" xfId="0" applyNumberFormat="1" applyFont="1" applyFill="1" applyBorder="1" applyAlignment="1">
      <alignment horizontal="left" indent="3"/>
    </xf>
    <xf numFmtId="49" fontId="59" fillId="2" borderId="18" xfId="0" applyNumberFormat="1" applyFont="1" applyFill="1" applyBorder="1" applyAlignment="1">
      <alignment horizontal="left" vertical="center"/>
    </xf>
    <xf numFmtId="49" fontId="67" fillId="2" borderId="26" xfId="0" applyNumberFormat="1" applyFont="1" applyFill="1" applyBorder="1" applyAlignment="1">
      <alignment horizontal="left" vertical="center" wrapText="1" indent="1"/>
    </xf>
    <xf numFmtId="49" fontId="67" fillId="2" borderId="0" xfId="0" applyNumberFormat="1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69" fillId="19" borderId="31" xfId="0" applyFont="1" applyFill="1" applyBorder="1" applyAlignment="1">
      <alignment horizontal="left" wrapText="1"/>
    </xf>
    <xf numFmtId="0" fontId="59" fillId="19" borderId="31" xfId="0" applyFont="1" applyFill="1" applyBorder="1" applyAlignment="1">
      <alignment horizontal="left" wrapText="1"/>
    </xf>
    <xf numFmtId="49" fontId="67" fillId="19" borderId="31" xfId="0" applyNumberFormat="1" applyFont="1" applyFill="1" applyBorder="1" applyAlignment="1">
      <alignment horizontal="left" indent="1"/>
    </xf>
    <xf numFmtId="0" fontId="67" fillId="19" borderId="31" xfId="0" applyFont="1" applyFill="1" applyBorder="1" applyAlignment="1">
      <alignment horizontal="left" indent="2"/>
    </xf>
    <xf numFmtId="49" fontId="67" fillId="2" borderId="26" xfId="0" applyNumberFormat="1" applyFont="1" applyFill="1" applyBorder="1" applyAlignment="1">
      <alignment horizontal="left" wrapText="1" indent="3"/>
    </xf>
    <xf numFmtId="0" fontId="68" fillId="2" borderId="5" xfId="0" applyFont="1" applyFill="1" applyBorder="1"/>
    <xf numFmtId="3" fontId="68" fillId="2" borderId="6" xfId="0" applyNumberFormat="1" applyFont="1" applyFill="1" applyBorder="1"/>
    <xf numFmtId="3" fontId="68" fillId="2" borderId="2" xfId="0" applyNumberFormat="1" applyFont="1" applyFill="1" applyBorder="1"/>
    <xf numFmtId="49" fontId="69" fillId="19" borderId="18" xfId="0" applyNumberFormat="1" applyFont="1" applyFill="1" applyBorder="1" applyAlignment="1">
      <alignment horizontal="left"/>
    </xf>
    <xf numFmtId="0" fontId="69" fillId="19" borderId="26" xfId="0" applyFont="1" applyFill="1" applyBorder="1" applyAlignment="1">
      <alignment horizontal="left" wrapText="1"/>
    </xf>
    <xf numFmtId="0" fontId="63" fillId="19" borderId="0" xfId="0" applyFont="1" applyFill="1"/>
    <xf numFmtId="3" fontId="67" fillId="2" borderId="5" xfId="0" applyNumberFormat="1" applyFont="1" applyFill="1" applyBorder="1"/>
    <xf numFmtId="49" fontId="67" fillId="2" borderId="37" xfId="0" applyNumberFormat="1" applyFont="1" applyFill="1" applyBorder="1" applyAlignment="1">
      <alignment wrapText="1"/>
    </xf>
    <xf numFmtId="49" fontId="58" fillId="0" borderId="0" xfId="0" applyNumberFormat="1" applyFont="1" applyFill="1" applyAlignment="1">
      <alignment horizontal="left"/>
    </xf>
    <xf numFmtId="49" fontId="60" fillId="20" borderId="38" xfId="0" applyNumberFormat="1" applyFont="1" applyFill="1" applyBorder="1" applyAlignment="1">
      <alignment horizontal="left"/>
    </xf>
    <xf numFmtId="0" fontId="60" fillId="20" borderId="39" xfId="0" applyFont="1" applyFill="1" applyBorder="1" applyAlignment="1">
      <alignment horizontal="left"/>
    </xf>
    <xf numFmtId="0" fontId="60" fillId="20" borderId="0" xfId="0" applyFont="1" applyFill="1"/>
    <xf numFmtId="49" fontId="69" fillId="6" borderId="27" xfId="0" applyNumberFormat="1" applyFont="1" applyFill="1" applyBorder="1" applyAlignment="1">
      <alignment horizontal="left"/>
    </xf>
    <xf numFmtId="0" fontId="69" fillId="6" borderId="31" xfId="0" applyFont="1" applyFill="1" applyBorder="1" applyAlignment="1">
      <alignment horizontal="left"/>
    </xf>
    <xf numFmtId="49" fontId="69" fillId="6" borderId="32" xfId="0" applyNumberFormat="1" applyFont="1" applyFill="1" applyBorder="1" applyAlignment="1">
      <alignment horizontal="center"/>
    </xf>
    <xf numFmtId="0" fontId="69" fillId="5" borderId="32" xfId="0" applyFont="1" applyFill="1" applyBorder="1"/>
    <xf numFmtId="49" fontId="60" fillId="20" borderId="29" xfId="0" applyNumberFormat="1" applyFont="1" applyFill="1" applyBorder="1" applyAlignment="1">
      <alignment horizontal="left"/>
    </xf>
    <xf numFmtId="0" fontId="60" fillId="20" borderId="30" xfId="0" applyFont="1" applyFill="1" applyBorder="1" applyAlignment="1">
      <alignment horizontal="left"/>
    </xf>
    <xf numFmtId="0" fontId="60" fillId="21" borderId="0" xfId="0" applyFont="1" applyFill="1"/>
    <xf numFmtId="49" fontId="69" fillId="6" borderId="28" xfId="0" applyNumberFormat="1" applyFont="1" applyFill="1" applyBorder="1" applyAlignment="1">
      <alignment horizontal="center"/>
    </xf>
    <xf numFmtId="0" fontId="69" fillId="6" borderId="32" xfId="0" applyFont="1" applyFill="1" applyBorder="1"/>
    <xf numFmtId="49" fontId="67" fillId="6" borderId="27" xfId="0" applyNumberFormat="1" applyFont="1" applyFill="1" applyBorder="1" applyAlignment="1">
      <alignment horizontal="left"/>
    </xf>
    <xf numFmtId="0" fontId="67" fillId="6" borderId="31" xfId="0" applyFont="1" applyFill="1" applyBorder="1" applyAlignment="1">
      <alignment horizontal="left"/>
    </xf>
    <xf numFmtId="49" fontId="67" fillId="6" borderId="32" xfId="0" applyNumberFormat="1" applyFont="1" applyFill="1" applyBorder="1" applyAlignment="1">
      <alignment horizontal="center"/>
    </xf>
    <xf numFmtId="0" fontId="67" fillId="6" borderId="32" xfId="0" applyFont="1" applyFill="1" applyBorder="1"/>
    <xf numFmtId="0" fontId="67" fillId="6" borderId="31" xfId="0" applyFont="1" applyFill="1" applyBorder="1" applyAlignment="1">
      <alignment horizontal="left" indent="1"/>
    </xf>
    <xf numFmtId="49" fontId="59" fillId="6" borderId="27" xfId="0" applyNumberFormat="1" applyFont="1" applyFill="1" applyBorder="1" applyAlignment="1">
      <alignment horizontal="left"/>
    </xf>
    <xf numFmtId="49" fontId="67" fillId="6" borderId="31" xfId="0" applyNumberFormat="1" applyFont="1" applyFill="1" applyBorder="1" applyAlignment="1">
      <alignment horizontal="left" wrapText="1" indent="2"/>
    </xf>
    <xf numFmtId="0" fontId="59" fillId="6" borderId="32" xfId="0" applyFont="1" applyFill="1" applyBorder="1"/>
    <xf numFmtId="49" fontId="67" fillId="6" borderId="31" xfId="0" applyNumberFormat="1" applyFont="1" applyFill="1" applyBorder="1" applyAlignment="1">
      <alignment horizontal="left" indent="2"/>
    </xf>
    <xf numFmtId="49" fontId="67" fillId="6" borderId="31" xfId="0" applyNumberFormat="1" applyFont="1" applyFill="1" applyBorder="1" applyAlignment="1">
      <alignment horizontal="left" wrapText="1" indent="3"/>
    </xf>
    <xf numFmtId="49" fontId="69" fillId="6" borderId="22" xfId="0" applyNumberFormat="1" applyFont="1" applyFill="1" applyBorder="1" applyAlignment="1">
      <alignment horizontal="left"/>
    </xf>
    <xf numFmtId="0" fontId="69" fillId="6" borderId="33" xfId="0" applyFont="1" applyFill="1" applyBorder="1" applyAlignment="1">
      <alignment horizontal="left"/>
    </xf>
    <xf numFmtId="49" fontId="69" fillId="6" borderId="40" xfId="0" applyNumberFormat="1" applyFont="1" applyFill="1" applyBorder="1" applyAlignment="1">
      <alignment horizontal="center"/>
    </xf>
    <xf numFmtId="0" fontId="69" fillId="6" borderId="34" xfId="0" applyFont="1" applyFill="1" applyBorder="1"/>
    <xf numFmtId="0" fontId="63" fillId="6" borderId="35" xfId="0" applyFont="1" applyFill="1" applyBorder="1" applyAlignment="1">
      <alignment horizontal="left"/>
    </xf>
    <xf numFmtId="49" fontId="63" fillId="6" borderId="41" xfId="0" applyNumberFormat="1" applyFont="1" applyFill="1" applyBorder="1" applyAlignment="1">
      <alignment horizontal="center"/>
    </xf>
    <xf numFmtId="0" fontId="63" fillId="6" borderId="36" xfId="0" applyFont="1" applyFill="1" applyBorder="1"/>
    <xf numFmtId="0" fontId="69" fillId="6" borderId="31" xfId="0" applyFont="1" applyFill="1" applyBorder="1" applyAlignment="1">
      <alignment horizontal="left" wrapText="1"/>
    </xf>
    <xf numFmtId="0" fontId="59" fillId="6" borderId="0" xfId="0" applyFont="1" applyFill="1"/>
    <xf numFmtId="0" fontId="59" fillId="6" borderId="31" xfId="0" applyFont="1" applyFill="1" applyBorder="1" applyAlignment="1">
      <alignment horizontal="left" wrapText="1"/>
    </xf>
    <xf numFmtId="49" fontId="59" fillId="6" borderId="32" xfId="0" applyNumberFormat="1" applyFont="1" applyFill="1" applyBorder="1" applyAlignment="1">
      <alignment horizontal="center"/>
    </xf>
    <xf numFmtId="49" fontId="67" fillId="6" borderId="31" xfId="0" applyNumberFormat="1" applyFont="1" applyFill="1" applyBorder="1" applyAlignment="1">
      <alignment horizontal="left" indent="1"/>
    </xf>
    <xf numFmtId="0" fontId="67" fillId="6" borderId="31" xfId="0" applyFont="1" applyFill="1" applyBorder="1" applyAlignment="1">
      <alignment horizontal="left" indent="2"/>
    </xf>
    <xf numFmtId="49" fontId="69" fillId="6" borderId="18" xfId="0" applyNumberFormat="1" applyFont="1" applyFill="1" applyBorder="1" applyAlignment="1">
      <alignment horizontal="left"/>
    </xf>
    <xf numFmtId="0" fontId="69" fillId="6" borderId="26" xfId="0" applyFont="1" applyFill="1" applyBorder="1" applyAlignment="1">
      <alignment horizontal="left" wrapText="1"/>
    </xf>
    <xf numFmtId="49" fontId="69" fillId="6" borderId="0" xfId="0" applyNumberFormat="1" applyFont="1" applyFill="1" applyBorder="1" applyAlignment="1">
      <alignment horizontal="center"/>
    </xf>
    <xf numFmtId="0" fontId="63" fillId="6" borderId="0" xfId="0" applyFont="1" applyFill="1"/>
    <xf numFmtId="0" fontId="67" fillId="2" borderId="42" xfId="0" applyFont="1" applyFill="1" applyBorder="1" applyAlignment="1">
      <alignment horizontal="left"/>
    </xf>
    <xf numFmtId="49" fontId="67" fillId="2" borderId="1" xfId="0" applyNumberFormat="1" applyFont="1" applyFill="1" applyBorder="1" applyAlignment="1">
      <alignment horizontal="center"/>
    </xf>
    <xf numFmtId="49" fontId="57" fillId="2" borderId="1" xfId="0" applyNumberFormat="1" applyFont="1" applyFill="1" applyBorder="1" applyAlignment="1">
      <alignment horizontal="left"/>
    </xf>
    <xf numFmtId="0" fontId="59" fillId="4" borderId="0" xfId="0" applyFont="1" applyFill="1"/>
    <xf numFmtId="49" fontId="67" fillId="2" borderId="20" xfId="0" applyNumberFormat="1" applyFont="1" applyFill="1" applyBorder="1" applyAlignment="1">
      <alignment wrapText="1"/>
    </xf>
    <xf numFmtId="49" fontId="67" fillId="2" borderId="43" xfId="0" applyNumberFormat="1" applyFont="1" applyFill="1" applyBorder="1" applyAlignment="1">
      <alignment horizontal="left"/>
    </xf>
    <xf numFmtId="0" fontId="70" fillId="2" borderId="1" xfId="0" applyFont="1" applyFill="1" applyBorder="1"/>
    <xf numFmtId="49" fontId="67" fillId="6" borderId="37" xfId="0" applyNumberFormat="1" applyFont="1" applyFill="1" applyBorder="1" applyAlignment="1">
      <alignment wrapText="1"/>
    </xf>
    <xf numFmtId="49" fontId="67" fillId="6" borderId="20" xfId="0" applyNumberFormat="1" applyFont="1" applyFill="1" applyBorder="1" applyAlignment="1">
      <alignment wrapText="1"/>
    </xf>
    <xf numFmtId="2" fontId="68" fillId="2" borderId="0" xfId="0" applyNumberFormat="1" applyFont="1" applyFill="1"/>
    <xf numFmtId="49" fontId="67" fillId="2" borderId="44" xfId="0" applyNumberFormat="1" applyFont="1" applyFill="1" applyBorder="1" applyAlignment="1">
      <alignment wrapText="1"/>
    </xf>
    <xf numFmtId="49" fontId="67" fillId="2" borderId="45" xfId="0" applyNumberFormat="1" applyFont="1" applyFill="1" applyBorder="1" applyAlignment="1">
      <alignment wrapText="1"/>
    </xf>
    <xf numFmtId="49" fontId="70" fillId="2" borderId="0" xfId="0" applyNumberFormat="1" applyFont="1" applyFill="1" applyAlignment="1">
      <alignment horizontal="right"/>
    </xf>
    <xf numFmtId="0" fontId="70" fillId="2" borderId="0" xfId="0" applyFont="1" applyFill="1" applyAlignment="1">
      <alignment horizontal="left"/>
    </xf>
    <xf numFmtId="0" fontId="59" fillId="2" borderId="0" xfId="0" applyFont="1" applyFill="1" applyAlignment="1">
      <alignment horizontal="left" indent="15"/>
    </xf>
    <xf numFmtId="49" fontId="67" fillId="22" borderId="18" xfId="0" applyNumberFormat="1" applyFont="1" applyFill="1" applyBorder="1" applyAlignment="1">
      <alignment horizontal="left"/>
    </xf>
    <xf numFmtId="0" fontId="67" fillId="23" borderId="26" xfId="0" applyFont="1" applyFill="1" applyBorder="1" applyAlignment="1">
      <alignment horizontal="left" indent="1"/>
    </xf>
    <xf numFmtId="49" fontId="67" fillId="22" borderId="0" xfId="0" applyNumberFormat="1" applyFont="1" applyFill="1" applyBorder="1" applyAlignment="1">
      <alignment horizontal="center"/>
    </xf>
    <xf numFmtId="2" fontId="71" fillId="22" borderId="0" xfId="0" applyNumberFormat="1" applyFont="1" applyFill="1"/>
    <xf numFmtId="0" fontId="67" fillId="22" borderId="0" xfId="0" applyFont="1" applyFill="1"/>
    <xf numFmtId="49" fontId="8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72" fillId="0" borderId="0" xfId="0" applyFont="1" applyProtection="1">
      <protection hidden="1"/>
    </xf>
    <xf numFmtId="0" fontId="8" fillId="2" borderId="0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0" fontId="73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left" vertical="top" indent="8"/>
      <protection hidden="1"/>
    </xf>
    <xf numFmtId="0" fontId="8" fillId="0" borderId="0" xfId="0" applyFont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1" fontId="10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7" xfId="0" applyFont="1" applyFill="1" applyBorder="1" applyAlignment="1" applyProtection="1">
      <alignment horizontal="center" vertical="center" wrapText="1"/>
      <protection hidden="1"/>
    </xf>
    <xf numFmtId="49" fontId="9" fillId="2" borderId="42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43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49" fontId="9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48" xfId="0" applyFont="1" applyFill="1" applyBorder="1" applyAlignment="1" applyProtection="1">
      <alignment horizontal="center" vertical="center" wrapText="1"/>
      <protection hidden="1"/>
    </xf>
    <xf numFmtId="49" fontId="9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26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Border="1" applyProtection="1">
      <protection hidden="1"/>
    </xf>
    <xf numFmtId="3" fontId="10" fillId="7" borderId="0" xfId="0" applyNumberFormat="1" applyFont="1" applyFill="1" applyBorder="1" applyProtection="1">
      <protection hidden="1"/>
    </xf>
    <xf numFmtId="0" fontId="10" fillId="7" borderId="0" xfId="0" applyFont="1" applyFill="1" applyProtection="1">
      <protection hidden="1"/>
    </xf>
    <xf numFmtId="3" fontId="10" fillId="7" borderId="26" xfId="0" applyNumberFormat="1" applyFont="1" applyFill="1" applyBorder="1" applyAlignment="1" applyProtection="1">
      <protection hidden="1"/>
    </xf>
    <xf numFmtId="3" fontId="10" fillId="7" borderId="30" xfId="0" applyNumberFormat="1" applyFont="1" applyFill="1" applyBorder="1" applyAlignment="1" applyProtection="1">
      <protection hidden="1"/>
    </xf>
    <xf numFmtId="0" fontId="12" fillId="2" borderId="0" xfId="0" applyFont="1" applyFill="1" applyBorder="1" applyProtection="1">
      <protection hidden="1"/>
    </xf>
    <xf numFmtId="3" fontId="12" fillId="2" borderId="0" xfId="0" applyNumberFormat="1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3" fontId="12" fillId="2" borderId="18" xfId="0" applyNumberFormat="1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3" fontId="12" fillId="0" borderId="18" xfId="0" applyNumberFormat="1" applyFont="1" applyFill="1" applyBorder="1" applyAlignment="1" applyProtection="1">
      <alignment horizontal="right"/>
      <protection hidden="1"/>
    </xf>
    <xf numFmtId="3" fontId="12" fillId="2" borderId="18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1" fontId="9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49" fontId="13" fillId="2" borderId="18" xfId="0" applyNumberFormat="1" applyFont="1" applyFill="1" applyBorder="1" applyAlignment="1" applyProtection="1">
      <alignment horizontal="center"/>
      <protection hidden="1"/>
    </xf>
    <xf numFmtId="3" fontId="10" fillId="2" borderId="18" xfId="0" applyNumberFormat="1" applyFont="1" applyFill="1" applyBorder="1" applyAlignment="1" applyProtection="1">
      <alignment vertical="center"/>
      <protection hidden="1"/>
    </xf>
    <xf numFmtId="49" fontId="11" fillId="0" borderId="29" xfId="0" applyNumberFormat="1" applyFont="1" applyBorder="1" applyAlignment="1" applyProtection="1">
      <alignment horizontal="center"/>
      <protection hidden="1"/>
    </xf>
    <xf numFmtId="49" fontId="11" fillId="0" borderId="18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9" fillId="2" borderId="0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49" fontId="12" fillId="0" borderId="18" xfId="0" applyNumberFormat="1" applyFont="1" applyBorder="1" applyAlignment="1" applyProtection="1">
      <alignment horizontal="center"/>
      <protection hidden="1"/>
    </xf>
    <xf numFmtId="3" fontId="11" fillId="0" borderId="18" xfId="0" applyNumberFormat="1" applyFont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10" fillId="0" borderId="26" xfId="0" applyNumberFormat="1" applyFont="1" applyBorder="1" applyAlignment="1" applyProtection="1">
      <alignment horizontal="center"/>
      <protection hidden="1"/>
    </xf>
    <xf numFmtId="3" fontId="10" fillId="0" borderId="18" xfId="0" applyNumberFormat="1" applyFont="1" applyBorder="1" applyAlignment="1" applyProtection="1">
      <protection hidden="1"/>
    </xf>
    <xf numFmtId="3" fontId="10" fillId="22" borderId="18" xfId="0" applyNumberFormat="1" applyFont="1" applyFill="1" applyBorder="1" applyAlignment="1" applyProtection="1">
      <alignment horizontal="left" vertical="center"/>
      <protection hidden="1"/>
    </xf>
    <xf numFmtId="0" fontId="10" fillId="22" borderId="0" xfId="0" applyFont="1" applyFill="1" applyBorder="1" applyAlignment="1" applyProtection="1">
      <alignment horizontal="left"/>
      <protection hidden="1"/>
    </xf>
    <xf numFmtId="49" fontId="13" fillId="22" borderId="18" xfId="0" applyNumberFormat="1" applyFont="1" applyFill="1" applyBorder="1" applyAlignment="1" applyProtection="1">
      <alignment horizontal="center"/>
      <protection hidden="1"/>
    </xf>
    <xf numFmtId="3" fontId="12" fillId="22" borderId="18" xfId="0" applyNumberFormat="1" applyFont="1" applyFill="1" applyBorder="1" applyAlignment="1" applyProtection="1">
      <alignment horizontal="right"/>
      <protection hidden="1"/>
    </xf>
    <xf numFmtId="0" fontId="12" fillId="24" borderId="0" xfId="0" applyFont="1" applyFill="1" applyBorder="1" applyProtection="1">
      <protection hidden="1"/>
    </xf>
    <xf numFmtId="3" fontId="12" fillId="24" borderId="0" xfId="0" applyNumberFormat="1" applyFont="1" applyFill="1" applyBorder="1" applyProtection="1">
      <protection hidden="1"/>
    </xf>
    <xf numFmtId="0" fontId="12" fillId="25" borderId="0" xfId="0" applyFont="1" applyFill="1" applyBorder="1" applyProtection="1">
      <protection hidden="1"/>
    </xf>
    <xf numFmtId="0" fontId="12" fillId="25" borderId="0" xfId="0" applyFont="1" applyFill="1" applyProtection="1">
      <protection hidden="1"/>
    </xf>
    <xf numFmtId="3" fontId="10" fillId="22" borderId="18" xfId="0" applyNumberFormat="1" applyFont="1" applyFill="1" applyBorder="1" applyAlignment="1" applyProtection="1">
      <alignment vertical="center"/>
      <protection hidden="1"/>
    </xf>
    <xf numFmtId="0" fontId="9" fillId="0" borderId="47" xfId="0" applyFont="1" applyFill="1" applyBorder="1" applyAlignment="1" applyProtection="1">
      <alignment horizontal="center" vertical="center" wrapText="1"/>
      <protection hidden="1"/>
    </xf>
    <xf numFmtId="49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0" xfId="0" applyFont="1" applyFill="1" applyBorder="1" applyProtection="1">
      <protection hidden="1"/>
    </xf>
    <xf numFmtId="0" fontId="16" fillId="8" borderId="0" xfId="0" applyFont="1" applyFill="1" applyProtection="1">
      <protection hidden="1"/>
    </xf>
    <xf numFmtId="0" fontId="17" fillId="2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6" fillId="2" borderId="0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3" fontId="13" fillId="22" borderId="18" xfId="0" applyNumberFormat="1" applyFont="1" applyFill="1" applyBorder="1" applyAlignment="1" applyProtection="1">
      <alignment horizontal="right"/>
      <protection hidden="1"/>
    </xf>
    <xf numFmtId="0" fontId="18" fillId="2" borderId="0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3" fontId="13" fillId="2" borderId="0" xfId="0" applyNumberFormat="1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2" fontId="19" fillId="2" borderId="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6" borderId="0" xfId="0" applyFont="1" applyFill="1" applyBorder="1" applyProtection="1">
      <protection hidden="1"/>
    </xf>
    <xf numFmtId="0" fontId="3" fillId="6" borderId="32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Protection="1">
      <protection hidden="1"/>
    </xf>
    <xf numFmtId="3" fontId="20" fillId="2" borderId="0" xfId="0" applyNumberFormat="1" applyFont="1" applyFill="1" applyBorder="1" applyProtection="1">
      <protection hidden="1"/>
    </xf>
    <xf numFmtId="1" fontId="20" fillId="2" borderId="0" xfId="0" applyNumberFormat="1" applyFont="1" applyFill="1" applyBorder="1" applyProtection="1">
      <protection hidden="1"/>
    </xf>
    <xf numFmtId="1" fontId="5" fillId="2" borderId="0" xfId="0" applyNumberFormat="1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5" fillId="5" borderId="31" xfId="0" applyFont="1" applyFill="1" applyBorder="1" applyProtection="1">
      <protection hidden="1"/>
    </xf>
    <xf numFmtId="0" fontId="5" fillId="5" borderId="27" xfId="0" applyFont="1" applyFill="1" applyBorder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3" fontId="16" fillId="2" borderId="0" xfId="0" applyNumberFormat="1" applyFont="1" applyFill="1" applyBorder="1" applyProtection="1">
      <protection hidden="1"/>
    </xf>
    <xf numFmtId="0" fontId="13" fillId="2" borderId="1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3" fontId="10" fillId="2" borderId="26" xfId="0" applyNumberFormat="1" applyFont="1" applyFill="1" applyBorder="1" applyAlignment="1" applyProtection="1">
      <alignment vertical="center"/>
      <protection hidden="1"/>
    </xf>
    <xf numFmtId="3" fontId="10" fillId="2" borderId="43" xfId="0" applyNumberFormat="1" applyFont="1" applyFill="1" applyBorder="1" applyProtection="1">
      <protection hidden="1"/>
    </xf>
    <xf numFmtId="0" fontId="10" fillId="0" borderId="1" xfId="0" applyFont="1" applyFill="1" applyBorder="1" applyProtection="1">
      <protection hidden="1"/>
    </xf>
    <xf numFmtId="0" fontId="10" fillId="8" borderId="0" xfId="0" applyFont="1" applyFill="1" applyBorder="1" applyProtection="1">
      <protection hidden="1"/>
    </xf>
    <xf numFmtId="0" fontId="10" fillId="8" borderId="0" xfId="0" applyFont="1" applyFill="1" applyProtection="1">
      <protection hidden="1"/>
    </xf>
    <xf numFmtId="0" fontId="10" fillId="8" borderId="1" xfId="0" applyFont="1" applyFill="1" applyBorder="1" applyProtection="1">
      <protection hidden="1"/>
    </xf>
    <xf numFmtId="3" fontId="10" fillId="2" borderId="42" xfId="0" applyNumberFormat="1" applyFont="1" applyFill="1" applyBorder="1" applyProtection="1"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3" fontId="22" fillId="0" borderId="0" xfId="0" applyNumberFormat="1" applyFont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3" fontId="10" fillId="2" borderId="0" xfId="0" applyNumberFormat="1" applyFont="1" applyFill="1" applyAlignment="1" applyProtection="1">
      <protection hidden="1"/>
    </xf>
    <xf numFmtId="3" fontId="10" fillId="2" borderId="0" xfId="0" applyNumberFormat="1" applyFont="1" applyFill="1" applyAlignment="1" applyProtection="1">
      <alignment wrapText="1"/>
      <protection hidden="1"/>
    </xf>
    <xf numFmtId="49" fontId="23" fillId="0" borderId="0" xfId="0" applyNumberFormat="1" applyFont="1" applyAlignment="1" applyProtection="1">
      <alignment vertical="top"/>
      <protection hidden="1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59" fillId="0" borderId="0" xfId="0" applyFont="1" applyProtection="1">
      <protection hidden="1"/>
    </xf>
    <xf numFmtId="0" fontId="59" fillId="0" borderId="0" xfId="0" applyFont="1" applyAlignment="1" applyProtection="1">
      <alignment horizontal="right"/>
      <protection hidden="1"/>
    </xf>
    <xf numFmtId="3" fontId="59" fillId="0" borderId="0" xfId="0" applyNumberFormat="1" applyFont="1" applyProtection="1">
      <protection hidden="1"/>
    </xf>
    <xf numFmtId="3" fontId="59" fillId="0" borderId="0" xfId="0" applyNumberFormat="1" applyFont="1" applyAlignment="1" applyProtection="1">
      <protection hidden="1"/>
    </xf>
    <xf numFmtId="0" fontId="74" fillId="0" borderId="0" xfId="0" applyFont="1" applyBorder="1" applyAlignment="1" applyProtection="1">
      <alignment horizontal="left"/>
      <protection hidden="1"/>
    </xf>
    <xf numFmtId="0" fontId="74" fillId="0" borderId="0" xfId="0" applyFont="1" applyFill="1" applyAlignment="1" applyProtection="1">
      <alignment horizontal="left"/>
      <protection hidden="1"/>
    </xf>
    <xf numFmtId="3" fontId="59" fillId="0" borderId="0" xfId="0" applyNumberFormat="1" applyFont="1" applyAlignment="1" applyProtection="1">
      <alignment horizontal="right"/>
      <protection hidden="1"/>
    </xf>
    <xf numFmtId="0" fontId="74" fillId="0" borderId="0" xfId="0" applyFont="1" applyAlignment="1" applyProtection="1">
      <protection hidden="1"/>
    </xf>
    <xf numFmtId="0" fontId="60" fillId="0" borderId="0" xfId="0" applyFont="1" applyAlignment="1" applyProtection="1">
      <protection hidden="1"/>
    </xf>
    <xf numFmtId="3" fontId="60" fillId="0" borderId="0" xfId="0" applyNumberFormat="1" applyFont="1" applyAlignment="1" applyProtection="1">
      <protection hidden="1"/>
    </xf>
    <xf numFmtId="0" fontId="60" fillId="0" borderId="0" xfId="0" applyFont="1" applyAlignment="1" applyProtection="1">
      <alignment horizontal="center"/>
      <protection hidden="1"/>
    </xf>
    <xf numFmtId="3" fontId="60" fillId="0" borderId="0" xfId="0" applyNumberFormat="1" applyFont="1" applyAlignment="1" applyProtection="1">
      <alignment horizontal="center"/>
      <protection hidden="1"/>
    </xf>
    <xf numFmtId="1" fontId="60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60" fillId="9" borderId="49" xfId="0" applyFont="1" applyFill="1" applyBorder="1" applyAlignment="1" applyProtection="1">
      <alignment horizontal="center" vertical="center"/>
      <protection hidden="1"/>
    </xf>
    <xf numFmtId="0" fontId="60" fillId="9" borderId="50" xfId="0" applyFont="1" applyFill="1" applyBorder="1" applyAlignment="1" applyProtection="1">
      <alignment vertical="center"/>
      <protection hidden="1"/>
    </xf>
    <xf numFmtId="3" fontId="60" fillId="9" borderId="51" xfId="0" applyNumberFormat="1" applyFont="1" applyFill="1" applyBorder="1" applyAlignment="1" applyProtection="1">
      <alignment vertical="center"/>
      <protection hidden="1"/>
    </xf>
    <xf numFmtId="4" fontId="69" fillId="9" borderId="52" xfId="0" applyNumberFormat="1" applyFont="1" applyFill="1" applyBorder="1" applyAlignment="1" applyProtection="1">
      <alignment horizontal="center" vertical="center"/>
      <protection hidden="1"/>
    </xf>
    <xf numFmtId="3" fontId="59" fillId="0" borderId="0" xfId="0" applyNumberFormat="1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3" fontId="60" fillId="0" borderId="0" xfId="0" applyNumberFormat="1" applyFont="1" applyAlignment="1" applyProtection="1">
      <alignment vertical="center"/>
      <protection hidden="1"/>
    </xf>
    <xf numFmtId="0" fontId="60" fillId="0" borderId="53" xfId="0" applyFont="1" applyFill="1" applyBorder="1" applyAlignment="1" applyProtection="1">
      <alignment horizontal="center" vertical="center"/>
      <protection hidden="1"/>
    </xf>
    <xf numFmtId="0" fontId="60" fillId="0" borderId="54" xfId="0" applyFont="1" applyFill="1" applyBorder="1" applyAlignment="1" applyProtection="1">
      <alignment horizontal="left" vertical="center" indent="1"/>
      <protection hidden="1"/>
    </xf>
    <xf numFmtId="3" fontId="60" fillId="0" borderId="55" xfId="0" applyNumberFormat="1" applyFont="1" applyFill="1" applyBorder="1" applyAlignment="1" applyProtection="1">
      <alignment vertical="center"/>
      <protection hidden="1"/>
    </xf>
    <xf numFmtId="3" fontId="59" fillId="0" borderId="0" xfId="0" applyNumberFormat="1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3" fontId="60" fillId="0" borderId="0" xfId="0" applyNumberFormat="1" applyFont="1" applyFill="1" applyAlignment="1" applyProtection="1">
      <alignment vertical="center"/>
      <protection hidden="1"/>
    </xf>
    <xf numFmtId="0" fontId="60" fillId="0" borderId="56" xfId="0" applyFont="1" applyFill="1" applyBorder="1" applyAlignment="1" applyProtection="1">
      <alignment horizontal="center" vertical="center"/>
      <protection hidden="1"/>
    </xf>
    <xf numFmtId="0" fontId="60" fillId="0" borderId="57" xfId="0" applyFont="1" applyFill="1" applyBorder="1" applyAlignment="1" applyProtection="1">
      <alignment horizontal="left" vertical="center" indent="1"/>
      <protection hidden="1"/>
    </xf>
    <xf numFmtId="3" fontId="60" fillId="0" borderId="24" xfId="0" applyNumberFormat="1" applyFont="1" applyFill="1" applyBorder="1" applyAlignment="1" applyProtection="1">
      <alignment vertical="center"/>
      <protection hidden="1"/>
    </xf>
    <xf numFmtId="4" fontId="69" fillId="0" borderId="58" xfId="0" applyNumberFormat="1" applyFont="1" applyFill="1" applyBorder="1" applyAlignment="1" applyProtection="1">
      <alignment horizontal="center" vertical="center"/>
      <protection hidden="1"/>
    </xf>
    <xf numFmtId="0" fontId="60" fillId="0" borderId="59" xfId="0" applyFont="1" applyFill="1" applyBorder="1" applyAlignment="1" applyProtection="1">
      <alignment horizontal="center" vertical="center"/>
      <protection hidden="1"/>
    </xf>
    <xf numFmtId="0" fontId="60" fillId="0" borderId="60" xfId="0" applyFont="1" applyFill="1" applyBorder="1" applyAlignment="1" applyProtection="1">
      <alignment horizontal="left" vertical="center" indent="1"/>
      <protection hidden="1"/>
    </xf>
    <xf numFmtId="3" fontId="60" fillId="0" borderId="61" xfId="0" applyNumberFormat="1" applyFont="1" applyFill="1" applyBorder="1" applyAlignment="1" applyProtection="1">
      <alignment vertical="center"/>
      <protection hidden="1"/>
    </xf>
    <xf numFmtId="4" fontId="69" fillId="0" borderId="62" xfId="0" applyNumberFormat="1" applyFont="1" applyFill="1" applyBorder="1" applyAlignment="1" applyProtection="1">
      <alignment horizontal="center" vertical="center"/>
      <protection hidden="1"/>
    </xf>
    <xf numFmtId="0" fontId="60" fillId="0" borderId="63" xfId="0" applyFont="1" applyBorder="1" applyAlignment="1" applyProtection="1">
      <alignment horizontal="right"/>
      <protection hidden="1"/>
    </xf>
    <xf numFmtId="0" fontId="60" fillId="0" borderId="64" xfId="0" applyFont="1" applyFill="1" applyBorder="1" applyAlignment="1" applyProtection="1">
      <protection hidden="1"/>
    </xf>
    <xf numFmtId="3" fontId="69" fillId="0" borderId="42" xfId="0" applyNumberFormat="1" applyFont="1" applyFill="1" applyBorder="1" applyAlignment="1" applyProtection="1">
      <protection hidden="1"/>
    </xf>
    <xf numFmtId="4" fontId="69" fillId="0" borderId="65" xfId="0" applyNumberFormat="1" applyFont="1" applyFill="1" applyBorder="1" applyAlignment="1" applyProtection="1">
      <alignment horizontal="center"/>
      <protection hidden="1"/>
    </xf>
    <xf numFmtId="164" fontId="60" fillId="0" borderId="0" xfId="0" applyNumberFormat="1" applyFont="1" applyAlignment="1" applyProtection="1">
      <alignment vertical="center"/>
      <protection hidden="1"/>
    </xf>
    <xf numFmtId="0" fontId="59" fillId="0" borderId="66" xfId="0" applyFont="1" applyBorder="1" applyAlignment="1" applyProtection="1">
      <alignment horizontal="right"/>
      <protection hidden="1"/>
    </xf>
    <xf numFmtId="0" fontId="59" fillId="0" borderId="67" xfId="0" applyFont="1" applyFill="1" applyBorder="1" applyAlignment="1" applyProtection="1">
      <alignment horizontal="left" indent="2"/>
      <protection hidden="1"/>
    </xf>
    <xf numFmtId="3" fontId="59" fillId="0" borderId="39" xfId="0" applyNumberFormat="1" applyFont="1" applyFill="1" applyBorder="1" applyAlignment="1" applyProtection="1">
      <protection hidden="1"/>
    </xf>
    <xf numFmtId="4" fontId="59" fillId="0" borderId="68" xfId="0" applyNumberFormat="1" applyFont="1" applyFill="1" applyBorder="1" applyAlignment="1" applyProtection="1">
      <alignment horizontal="center"/>
      <protection hidden="1"/>
    </xf>
    <xf numFmtId="164" fontId="59" fillId="0" borderId="0" xfId="0" applyNumberFormat="1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63" xfId="0" applyFont="1" applyBorder="1" applyAlignment="1" applyProtection="1">
      <alignment horizontal="right"/>
      <protection hidden="1"/>
    </xf>
    <xf numFmtId="0" fontId="59" fillId="0" borderId="64" xfId="0" applyFont="1" applyFill="1" applyBorder="1" applyAlignment="1" applyProtection="1">
      <alignment horizontal="left" indent="2"/>
      <protection hidden="1"/>
    </xf>
    <xf numFmtId="3" fontId="59" fillId="0" borderId="42" xfId="0" applyNumberFormat="1" applyFont="1" applyFill="1" applyBorder="1" applyAlignment="1" applyProtection="1">
      <protection hidden="1"/>
    </xf>
    <xf numFmtId="0" fontId="60" fillId="0" borderId="69" xfId="0" applyFont="1" applyBorder="1" applyAlignment="1" applyProtection="1">
      <alignment horizontal="right"/>
      <protection hidden="1"/>
    </xf>
    <xf numFmtId="0" fontId="60" fillId="0" borderId="70" xfId="0" applyFont="1" applyFill="1" applyBorder="1" applyAlignment="1" applyProtection="1">
      <protection hidden="1"/>
    </xf>
    <xf numFmtId="3" fontId="69" fillId="0" borderId="71" xfId="0" applyNumberFormat="1" applyFont="1" applyFill="1" applyBorder="1" applyAlignment="1" applyProtection="1">
      <protection hidden="1"/>
    </xf>
    <xf numFmtId="3" fontId="69" fillId="0" borderId="71" xfId="0" applyNumberFormat="1" applyFont="1" applyFill="1" applyBorder="1" applyAlignment="1" applyProtection="1">
      <alignment horizontal="center"/>
      <protection hidden="1"/>
    </xf>
    <xf numFmtId="0" fontId="69" fillId="0" borderId="69" xfId="0" applyFont="1" applyBorder="1" applyAlignment="1" applyProtection="1">
      <alignment horizontal="right"/>
      <protection hidden="1"/>
    </xf>
    <xf numFmtId="0" fontId="69" fillId="0" borderId="70" xfId="0" applyFont="1" applyFill="1" applyBorder="1" applyAlignment="1" applyProtection="1">
      <protection hidden="1"/>
    </xf>
    <xf numFmtId="3" fontId="75" fillId="0" borderId="0" xfId="0" applyNumberFormat="1" applyFont="1" applyAlignment="1" applyProtection="1">
      <alignment vertical="center"/>
      <protection hidden="1"/>
    </xf>
    <xf numFmtId="164" fontId="69" fillId="0" borderId="0" xfId="0" applyNumberFormat="1" applyFont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60" fillId="10" borderId="69" xfId="0" applyFont="1" applyFill="1" applyBorder="1" applyAlignment="1" applyProtection="1">
      <alignment horizontal="right" vertical="center"/>
      <protection hidden="1"/>
    </xf>
    <xf numFmtId="0" fontId="60" fillId="10" borderId="70" xfId="0" applyFont="1" applyFill="1" applyBorder="1" applyAlignment="1" applyProtection="1">
      <alignment vertical="center" wrapText="1"/>
      <protection hidden="1"/>
    </xf>
    <xf numFmtId="3" fontId="60" fillId="10" borderId="46" xfId="0" applyNumberFormat="1" applyFont="1" applyFill="1" applyBorder="1" applyAlignment="1" applyProtection="1">
      <alignment vertical="center"/>
      <protection hidden="1"/>
    </xf>
    <xf numFmtId="3" fontId="60" fillId="10" borderId="71" xfId="0" applyNumberFormat="1" applyFont="1" applyFill="1" applyBorder="1" applyAlignment="1" applyProtection="1">
      <alignment vertical="center"/>
      <protection hidden="1"/>
    </xf>
    <xf numFmtId="4" fontId="69" fillId="10" borderId="65" xfId="0" applyNumberFormat="1" applyFont="1" applyFill="1" applyBorder="1" applyAlignment="1" applyProtection="1">
      <alignment horizontal="center" vertical="center"/>
      <protection hidden="1"/>
    </xf>
    <xf numFmtId="0" fontId="59" fillId="0" borderId="66" xfId="0" applyFont="1" applyFill="1" applyBorder="1" applyAlignment="1" applyProtection="1">
      <alignment horizontal="right" vertical="center"/>
      <protection hidden="1"/>
    </xf>
    <xf numFmtId="0" fontId="59" fillId="0" borderId="72" xfId="0" applyFont="1" applyFill="1" applyBorder="1" applyAlignment="1" applyProtection="1">
      <alignment horizontal="left" vertical="center" indent="1"/>
      <protection hidden="1"/>
    </xf>
    <xf numFmtId="3" fontId="59" fillId="0" borderId="38" xfId="0" applyNumberFormat="1" applyFont="1" applyFill="1" applyBorder="1" applyAlignment="1" applyProtection="1">
      <alignment vertical="center"/>
      <protection hidden="1"/>
    </xf>
    <xf numFmtId="3" fontId="59" fillId="0" borderId="39" xfId="0" applyNumberFormat="1" applyFont="1" applyFill="1" applyBorder="1" applyAlignment="1" applyProtection="1">
      <alignment vertical="center"/>
      <protection hidden="1"/>
    </xf>
    <xf numFmtId="4" fontId="75" fillId="0" borderId="73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59" fillId="0" borderId="56" xfId="0" applyFont="1" applyFill="1" applyBorder="1" applyAlignment="1" applyProtection="1">
      <alignment horizontal="right" vertical="center"/>
      <protection hidden="1"/>
    </xf>
    <xf numFmtId="0" fontId="59" fillId="0" borderId="57" xfId="0" applyFont="1" applyFill="1" applyBorder="1" applyAlignment="1" applyProtection="1">
      <alignment horizontal="left" vertical="center" indent="1"/>
      <protection hidden="1"/>
    </xf>
    <xf numFmtId="3" fontId="59" fillId="0" borderId="23" xfId="0" applyNumberFormat="1" applyFont="1" applyFill="1" applyBorder="1" applyAlignment="1" applyProtection="1">
      <alignment vertical="center"/>
      <protection hidden="1"/>
    </xf>
    <xf numFmtId="3" fontId="59" fillId="0" borderId="24" xfId="0" applyNumberFormat="1" applyFont="1" applyFill="1" applyBorder="1" applyAlignment="1" applyProtection="1">
      <alignment vertical="center"/>
      <protection hidden="1"/>
    </xf>
    <xf numFmtId="4" fontId="75" fillId="0" borderId="74" xfId="0" applyNumberFormat="1" applyFont="1" applyFill="1" applyBorder="1" applyAlignment="1" applyProtection="1">
      <alignment horizontal="center" vertical="center"/>
      <protection hidden="1"/>
    </xf>
    <xf numFmtId="0" fontId="59" fillId="0" borderId="63" xfId="0" applyFont="1" applyFill="1" applyBorder="1" applyAlignment="1" applyProtection="1">
      <alignment horizontal="right" vertical="center"/>
      <protection hidden="1"/>
    </xf>
    <xf numFmtId="0" fontId="59" fillId="0" borderId="60" xfId="0" applyFont="1" applyFill="1" applyBorder="1" applyAlignment="1" applyProtection="1">
      <alignment horizontal="left" vertical="center" indent="1"/>
      <protection hidden="1"/>
    </xf>
    <xf numFmtId="3" fontId="59" fillId="0" borderId="43" xfId="0" applyNumberFormat="1" applyFont="1" applyFill="1" applyBorder="1" applyAlignment="1" applyProtection="1">
      <alignment vertical="center"/>
      <protection hidden="1"/>
    </xf>
    <xf numFmtId="3" fontId="59" fillId="0" borderId="42" xfId="0" applyNumberFormat="1" applyFont="1" applyFill="1" applyBorder="1" applyAlignment="1" applyProtection="1">
      <alignment vertical="center"/>
      <protection hidden="1"/>
    </xf>
    <xf numFmtId="4" fontId="75" fillId="0" borderId="75" xfId="0" applyNumberFormat="1" applyFont="1" applyFill="1" applyBorder="1" applyAlignment="1" applyProtection="1">
      <alignment horizontal="center" vertical="center"/>
      <protection hidden="1"/>
    </xf>
    <xf numFmtId="0" fontId="60" fillId="10" borderId="70" xfId="0" applyFont="1" applyFill="1" applyBorder="1" applyAlignment="1" applyProtection="1">
      <alignment vertical="center"/>
      <protection hidden="1"/>
    </xf>
    <xf numFmtId="3" fontId="59" fillId="0" borderId="0" xfId="0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3" fontId="60" fillId="0" borderId="0" xfId="0" applyNumberFormat="1" applyFont="1" applyFill="1" applyBorder="1" applyAlignment="1" applyProtection="1">
      <alignment vertical="center"/>
      <protection hidden="1"/>
    </xf>
    <xf numFmtId="4" fontId="75" fillId="0" borderId="76" xfId="0" applyNumberFormat="1" applyFont="1" applyFill="1" applyBorder="1" applyAlignment="1" applyProtection="1">
      <alignment horizontal="center" vertical="center"/>
      <protection hidden="1"/>
    </xf>
    <xf numFmtId="0" fontId="60" fillId="0" borderId="66" xfId="0" applyFont="1" applyFill="1" applyBorder="1" applyAlignment="1" applyProtection="1">
      <alignment horizontal="right" vertical="center"/>
      <protection hidden="1"/>
    </xf>
    <xf numFmtId="3" fontId="60" fillId="0" borderId="38" xfId="0" applyNumberFormat="1" applyFont="1" applyFill="1" applyBorder="1" applyAlignment="1" applyProtection="1">
      <alignment vertical="center"/>
      <protection hidden="1"/>
    </xf>
    <xf numFmtId="3" fontId="60" fillId="0" borderId="39" xfId="0" applyNumberFormat="1" applyFont="1" applyFill="1" applyBorder="1" applyAlignment="1" applyProtection="1">
      <alignment vertical="center"/>
      <protection hidden="1"/>
    </xf>
    <xf numFmtId="4" fontId="69" fillId="0" borderId="76" xfId="0" applyNumberFormat="1" applyFont="1" applyFill="1" applyBorder="1" applyAlignment="1" applyProtection="1">
      <alignment horizontal="center" vertical="center"/>
      <protection hidden="1"/>
    </xf>
    <xf numFmtId="0" fontId="60" fillId="0" borderId="56" xfId="0" applyFont="1" applyFill="1" applyBorder="1" applyAlignment="1" applyProtection="1">
      <alignment horizontal="right" vertical="center"/>
      <protection hidden="1"/>
    </xf>
    <xf numFmtId="3" fontId="60" fillId="0" borderId="23" xfId="0" applyNumberFormat="1" applyFont="1" applyFill="1" applyBorder="1" applyAlignment="1" applyProtection="1">
      <alignment vertical="center"/>
      <protection hidden="1"/>
    </xf>
    <xf numFmtId="0" fontId="60" fillId="0" borderId="59" xfId="0" applyFont="1" applyFill="1" applyBorder="1" applyAlignment="1" applyProtection="1">
      <alignment horizontal="right" vertical="center"/>
      <protection hidden="1"/>
    </xf>
    <xf numFmtId="3" fontId="60" fillId="0" borderId="18" xfId="0" applyNumberFormat="1" applyFont="1" applyFill="1" applyBorder="1" applyAlignment="1" applyProtection="1">
      <alignment vertical="center"/>
      <protection hidden="1"/>
    </xf>
    <xf numFmtId="3" fontId="60" fillId="0" borderId="26" xfId="0" applyNumberFormat="1" applyFont="1" applyFill="1" applyBorder="1" applyAlignment="1" applyProtection="1">
      <alignment vertical="center"/>
      <protection hidden="1"/>
    </xf>
    <xf numFmtId="0" fontId="59" fillId="0" borderId="77" xfId="0" applyFont="1" applyBorder="1" applyAlignment="1" applyProtection="1">
      <alignment horizontal="right"/>
      <protection hidden="1"/>
    </xf>
    <xf numFmtId="0" fontId="59" fillId="0" borderId="78" xfId="0" applyFont="1" applyBorder="1" applyAlignment="1" applyProtection="1">
      <protection hidden="1"/>
    </xf>
    <xf numFmtId="3" fontId="59" fillId="0" borderId="79" xfId="0" applyNumberFormat="1" applyFont="1" applyBorder="1" applyAlignment="1" applyProtection="1">
      <protection hidden="1"/>
    </xf>
    <xf numFmtId="3" fontId="59" fillId="0" borderId="80" xfId="0" applyNumberFormat="1" applyFont="1" applyBorder="1" applyAlignment="1" applyProtection="1">
      <protection hidden="1"/>
    </xf>
    <xf numFmtId="4" fontId="69" fillId="0" borderId="73" xfId="0" applyNumberFormat="1" applyFont="1" applyFill="1" applyBorder="1" applyAlignment="1" applyProtection="1">
      <alignment horizontal="center" vertical="center"/>
      <protection hidden="1"/>
    </xf>
    <xf numFmtId="0" fontId="59" fillId="0" borderId="56" xfId="0" applyFont="1" applyBorder="1" applyAlignment="1" applyProtection="1">
      <alignment horizontal="right"/>
      <protection hidden="1"/>
    </xf>
    <xf numFmtId="0" fontId="59" fillId="0" borderId="57" xfId="0" applyFont="1" applyBorder="1" applyAlignment="1" applyProtection="1">
      <protection hidden="1"/>
    </xf>
    <xf numFmtId="3" fontId="59" fillId="0" borderId="23" xfId="0" applyNumberFormat="1" applyFont="1" applyBorder="1" applyAlignment="1" applyProtection="1">
      <protection hidden="1"/>
    </xf>
    <xf numFmtId="3" fontId="59" fillId="0" borderId="24" xfId="0" applyNumberFormat="1" applyFont="1" applyBorder="1" applyAlignment="1" applyProtection="1">
      <protection hidden="1"/>
    </xf>
    <xf numFmtId="4" fontId="69" fillId="0" borderId="74" xfId="0" applyNumberFormat="1" applyFont="1" applyFill="1" applyBorder="1" applyAlignment="1" applyProtection="1">
      <alignment horizontal="center" vertical="center"/>
      <protection hidden="1"/>
    </xf>
    <xf numFmtId="3" fontId="59" fillId="0" borderId="6" xfId="0" applyNumberFormat="1" applyFont="1" applyBorder="1" applyAlignment="1" applyProtection="1">
      <protection hidden="1"/>
    </xf>
    <xf numFmtId="0" fontId="59" fillId="0" borderId="6" xfId="0" applyFont="1" applyBorder="1" applyProtection="1">
      <protection hidden="1"/>
    </xf>
    <xf numFmtId="3" fontId="59" fillId="0" borderId="6" xfId="0" applyNumberFormat="1" applyFont="1" applyBorder="1" applyProtection="1">
      <protection hidden="1"/>
    </xf>
    <xf numFmtId="3" fontId="59" fillId="0" borderId="81" xfId="0" applyNumberFormat="1" applyFont="1" applyBorder="1" applyProtection="1">
      <protection hidden="1"/>
    </xf>
    <xf numFmtId="4" fontId="69" fillId="0" borderId="82" xfId="0" applyNumberFormat="1" applyFont="1" applyFill="1" applyBorder="1" applyAlignment="1" applyProtection="1">
      <alignment horizontal="center" vertical="center"/>
      <protection hidden="1"/>
    </xf>
    <xf numFmtId="0" fontId="59" fillId="0" borderId="83" xfId="0" applyFont="1" applyBorder="1" applyProtection="1">
      <protection hidden="1"/>
    </xf>
    <xf numFmtId="0" fontId="59" fillId="0" borderId="84" xfId="0" applyFont="1" applyBorder="1" applyAlignment="1" applyProtection="1">
      <alignment horizontal="left" indent="5"/>
      <protection hidden="1"/>
    </xf>
    <xf numFmtId="0" fontId="59" fillId="0" borderId="29" xfId="0" applyFont="1" applyBorder="1" applyProtection="1">
      <protection hidden="1"/>
    </xf>
    <xf numFmtId="0" fontId="59" fillId="0" borderId="30" xfId="0" applyFont="1" applyBorder="1" applyProtection="1">
      <protection hidden="1"/>
    </xf>
    <xf numFmtId="3" fontId="68" fillId="2" borderId="18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Protection="1">
      <protection locked="0"/>
    </xf>
    <xf numFmtId="0" fontId="59" fillId="2" borderId="0" xfId="0" applyFont="1" applyFill="1" applyProtection="1">
      <protection locked="0"/>
    </xf>
    <xf numFmtId="0" fontId="58" fillId="2" borderId="0" xfId="0" applyFont="1" applyFill="1" applyProtection="1">
      <protection locked="0"/>
    </xf>
    <xf numFmtId="49" fontId="57" fillId="2" borderId="0" xfId="0" applyNumberFormat="1" applyFont="1" applyFill="1" applyAlignment="1" applyProtection="1">
      <alignment horizontal="center"/>
      <protection locked="0"/>
    </xf>
    <xf numFmtId="0" fontId="60" fillId="17" borderId="0" xfId="0" applyFont="1" applyFill="1" applyAlignment="1" applyProtection="1">
      <alignment horizontal="center"/>
      <protection locked="0"/>
    </xf>
    <xf numFmtId="3" fontId="60" fillId="17" borderId="0" xfId="0" applyNumberFormat="1" applyFont="1" applyFill="1" applyAlignment="1" applyProtection="1">
      <alignment horizontal="center"/>
      <protection locked="0"/>
    </xf>
    <xf numFmtId="0" fontId="61" fillId="2" borderId="0" xfId="0" applyFont="1" applyFill="1" applyAlignment="1" applyProtection="1">
      <alignment horizontal="center"/>
      <protection locked="0"/>
    </xf>
    <xf numFmtId="0" fontId="60" fillId="18" borderId="0" xfId="0" applyFont="1" applyFill="1" applyProtection="1">
      <protection locked="0"/>
    </xf>
    <xf numFmtId="0" fontId="63" fillId="2" borderId="0" xfId="0" applyFont="1" applyFill="1" applyProtection="1">
      <protection locked="0"/>
    </xf>
    <xf numFmtId="0" fontId="63" fillId="3" borderId="19" xfId="0" applyFont="1" applyFill="1" applyBorder="1" applyProtection="1">
      <protection locked="0"/>
    </xf>
    <xf numFmtId="0" fontId="63" fillId="2" borderId="19" xfId="0" applyFont="1" applyFill="1" applyBorder="1" applyProtection="1">
      <protection locked="0"/>
    </xf>
    <xf numFmtId="0" fontId="63" fillId="3" borderId="0" xfId="0" applyFont="1" applyFill="1" applyBorder="1" applyProtection="1">
      <protection locked="0"/>
    </xf>
    <xf numFmtId="0" fontId="63" fillId="2" borderId="0" xfId="0" applyFont="1" applyFill="1" applyBorder="1" applyProtection="1">
      <protection locked="0"/>
    </xf>
    <xf numFmtId="0" fontId="66" fillId="2" borderId="0" xfId="0" applyFont="1" applyFill="1" applyProtection="1">
      <protection locked="0"/>
    </xf>
    <xf numFmtId="0" fontId="60" fillId="4" borderId="0" xfId="0" applyFont="1" applyFill="1" applyAlignment="1" applyProtection="1">
      <alignment horizontal="center"/>
      <protection locked="0"/>
    </xf>
    <xf numFmtId="0" fontId="60" fillId="17" borderId="0" xfId="0" applyFont="1" applyFill="1" applyProtection="1">
      <protection locked="0"/>
    </xf>
    <xf numFmtId="0" fontId="68" fillId="2" borderId="0" xfId="0" applyFont="1" applyFill="1" applyProtection="1">
      <protection locked="0"/>
    </xf>
    <xf numFmtId="0" fontId="67" fillId="2" borderId="0" xfId="0" applyFont="1" applyFill="1" applyProtection="1">
      <protection locked="0"/>
    </xf>
    <xf numFmtId="0" fontId="67" fillId="19" borderId="0" xfId="0" applyFont="1" applyFill="1" applyProtection="1">
      <protection locked="0"/>
    </xf>
    <xf numFmtId="0" fontId="61" fillId="2" borderId="0" xfId="0" applyFont="1" applyFill="1" applyProtection="1">
      <protection locked="0"/>
    </xf>
    <xf numFmtId="0" fontId="69" fillId="19" borderId="32" xfId="0" applyFont="1" applyFill="1" applyBorder="1" applyProtection="1">
      <protection locked="0"/>
    </xf>
    <xf numFmtId="0" fontId="69" fillId="2" borderId="0" xfId="0" applyFont="1" applyFill="1" applyProtection="1">
      <protection locked="0"/>
    </xf>
    <xf numFmtId="0" fontId="60" fillId="2" borderId="0" xfId="0" applyFont="1" applyFill="1" applyProtection="1">
      <protection locked="0"/>
    </xf>
    <xf numFmtId="0" fontId="70" fillId="2" borderId="0" xfId="0" applyFont="1" applyFill="1" applyBorder="1" applyProtection="1">
      <protection locked="0"/>
    </xf>
    <xf numFmtId="0" fontId="66" fillId="2" borderId="0" xfId="0" applyFont="1" applyFill="1" applyBorder="1" applyProtection="1">
      <protection locked="0"/>
    </xf>
    <xf numFmtId="0" fontId="67" fillId="19" borderId="32" xfId="0" applyFont="1" applyFill="1" applyBorder="1" applyProtection="1">
      <protection locked="0"/>
    </xf>
    <xf numFmtId="0" fontId="59" fillId="19" borderId="32" xfId="0" applyFont="1" applyFill="1" applyBorder="1" applyProtection="1">
      <protection locked="0"/>
    </xf>
    <xf numFmtId="0" fontId="69" fillId="2" borderId="32" xfId="0" applyFont="1" applyFill="1" applyBorder="1" applyProtection="1">
      <protection locked="0"/>
    </xf>
    <xf numFmtId="0" fontId="69" fillId="19" borderId="34" xfId="0" applyFont="1" applyFill="1" applyBorder="1" applyProtection="1">
      <protection locked="0"/>
    </xf>
    <xf numFmtId="0" fontId="63" fillId="19" borderId="36" xfId="0" applyFont="1" applyFill="1" applyBorder="1" applyProtection="1">
      <protection locked="0"/>
    </xf>
    <xf numFmtId="0" fontId="59" fillId="19" borderId="0" xfId="0" applyFont="1" applyFill="1" applyProtection="1">
      <protection locked="0"/>
    </xf>
    <xf numFmtId="0" fontId="59" fillId="5" borderId="27" xfId="0" applyFont="1" applyFill="1" applyBorder="1" applyProtection="1">
      <protection locked="0"/>
    </xf>
    <xf numFmtId="0" fontId="59" fillId="2" borderId="0" xfId="0" applyFont="1" applyFill="1" applyAlignment="1" applyProtection="1">
      <alignment vertical="center"/>
      <protection locked="0"/>
    </xf>
    <xf numFmtId="4" fontId="67" fillId="2" borderId="0" xfId="0" applyNumberFormat="1" applyFont="1" applyFill="1" applyProtection="1">
      <protection locked="0"/>
    </xf>
    <xf numFmtId="0" fontId="63" fillId="2" borderId="85" xfId="0" applyFont="1" applyFill="1" applyBorder="1" applyProtection="1">
      <protection locked="0"/>
    </xf>
    <xf numFmtId="3" fontId="63" fillId="2" borderId="85" xfId="0" applyNumberFormat="1" applyFont="1" applyFill="1" applyBorder="1" applyProtection="1">
      <protection locked="0"/>
    </xf>
    <xf numFmtId="0" fontId="63" fillId="3" borderId="20" xfId="0" applyFont="1" applyFill="1" applyBorder="1" applyProtection="1">
      <protection locked="0"/>
    </xf>
    <xf numFmtId="0" fontId="64" fillId="3" borderId="21" xfId="0" applyFont="1" applyFill="1" applyBorder="1" applyProtection="1">
      <protection locked="0"/>
    </xf>
    <xf numFmtId="0" fontId="67" fillId="4" borderId="0" xfId="0" applyFont="1" applyFill="1" applyProtection="1">
      <protection locked="0"/>
    </xf>
    <xf numFmtId="0" fontId="67" fillId="17" borderId="0" xfId="0" applyFont="1" applyFill="1" applyProtection="1">
      <protection locked="0"/>
    </xf>
    <xf numFmtId="1" fontId="59" fillId="2" borderId="0" xfId="0" applyNumberFormat="1" applyFont="1" applyFill="1" applyProtection="1">
      <protection locked="0"/>
    </xf>
    <xf numFmtId="1" fontId="59" fillId="19" borderId="32" xfId="0" applyNumberFormat="1" applyFont="1" applyFill="1" applyBorder="1" applyProtection="1">
      <protection locked="0"/>
    </xf>
    <xf numFmtId="49" fontId="58" fillId="2" borderId="0" xfId="0" applyNumberFormat="1" applyFont="1" applyFill="1" applyProtection="1">
      <protection locked="0"/>
    </xf>
    <xf numFmtId="49" fontId="59" fillId="2" borderId="0" xfId="0" applyNumberFormat="1" applyFont="1" applyFill="1" applyProtection="1">
      <protection locked="0"/>
    </xf>
    <xf numFmtId="0" fontId="59" fillId="2" borderId="0" xfId="0" applyFont="1" applyFill="1" applyAlignment="1" applyProtection="1">
      <alignment horizontal="left" vertical="top" indent="8"/>
      <protection locked="0"/>
    </xf>
    <xf numFmtId="49" fontId="57" fillId="2" borderId="0" xfId="0" applyNumberFormat="1" applyFont="1" applyFill="1" applyAlignment="1" applyProtection="1">
      <alignment horizontal="left"/>
      <protection locked="0"/>
    </xf>
    <xf numFmtId="49" fontId="62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47" xfId="0" applyFont="1" applyFill="1" applyBorder="1" applyAlignment="1" applyProtection="1">
      <alignment horizontal="center" vertical="center" wrapText="1"/>
      <protection locked="0"/>
    </xf>
    <xf numFmtId="49" fontId="6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48" xfId="0" applyFont="1" applyFill="1" applyBorder="1" applyAlignment="1" applyProtection="1">
      <alignment horizontal="center" vertical="center" wrapText="1"/>
      <protection locked="0"/>
    </xf>
    <xf numFmtId="49" fontId="6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0" fillId="18" borderId="86" xfId="0" applyNumberFormat="1" applyFont="1" applyFill="1" applyBorder="1" applyAlignment="1" applyProtection="1">
      <alignment horizontal="left"/>
      <protection locked="0"/>
    </xf>
    <xf numFmtId="49" fontId="60" fillId="18" borderId="18" xfId="0" applyNumberFormat="1" applyFont="1" applyFill="1" applyBorder="1" applyAlignment="1" applyProtection="1">
      <alignment horizontal="left"/>
      <protection locked="0"/>
    </xf>
    <xf numFmtId="49" fontId="60" fillId="18" borderId="29" xfId="0" applyNumberFormat="1" applyFont="1" applyFill="1" applyBorder="1" applyAlignment="1" applyProtection="1">
      <alignment horizontal="left"/>
      <protection locked="0"/>
    </xf>
    <xf numFmtId="49" fontId="59" fillId="2" borderId="87" xfId="0" applyNumberFormat="1" applyFont="1" applyFill="1" applyBorder="1" applyAlignment="1" applyProtection="1">
      <alignment horizontal="left"/>
      <protection locked="0"/>
    </xf>
    <xf numFmtId="49" fontId="59" fillId="3" borderId="27" xfId="0" applyNumberFormat="1" applyFont="1" applyFill="1" applyBorder="1" applyAlignment="1" applyProtection="1">
      <alignment horizontal="left" vertical="center"/>
      <protection locked="0"/>
    </xf>
    <xf numFmtId="49" fontId="59" fillId="2" borderId="27" xfId="0" applyNumberFormat="1" applyFont="1" applyFill="1" applyBorder="1" applyAlignment="1" applyProtection="1">
      <alignment horizontal="left" vertical="center"/>
      <protection locked="0"/>
    </xf>
    <xf numFmtId="49" fontId="67" fillId="3" borderId="32" xfId="0" applyNumberFormat="1" applyFont="1" applyFill="1" applyBorder="1" applyAlignment="1" applyProtection="1">
      <alignment horizontal="left" vertical="center" indent="2"/>
      <protection locked="0"/>
    </xf>
    <xf numFmtId="49" fontId="67" fillId="3" borderId="32" xfId="0" applyNumberFormat="1" applyFont="1" applyFill="1" applyBorder="1" applyAlignment="1" applyProtection="1">
      <alignment horizontal="left" wrapText="1" indent="1"/>
      <protection locked="0"/>
    </xf>
    <xf numFmtId="49" fontId="67" fillId="3" borderId="32" xfId="0" applyNumberFormat="1" applyFont="1" applyFill="1" applyBorder="1" applyAlignment="1" applyProtection="1">
      <alignment horizontal="left" indent="1"/>
      <protection locked="0"/>
    </xf>
    <xf numFmtId="49" fontId="67" fillId="3" borderId="32" xfId="0" applyNumberFormat="1" applyFont="1" applyFill="1" applyBorder="1" applyAlignment="1" applyProtection="1">
      <alignment horizontal="left" vertical="center" indent="1"/>
      <protection locked="0"/>
    </xf>
    <xf numFmtId="49" fontId="59" fillId="3" borderId="22" xfId="0" applyNumberFormat="1" applyFont="1" applyFill="1" applyBorder="1" applyAlignment="1" applyProtection="1">
      <alignment horizontal="left" vertical="center"/>
      <protection locked="0"/>
    </xf>
    <xf numFmtId="49" fontId="67" fillId="3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67" fillId="3" borderId="34" xfId="0" applyNumberFormat="1" applyFont="1" applyFill="1" applyBorder="1" applyAlignment="1" applyProtection="1">
      <alignment horizontal="left" vertical="center" indent="1"/>
      <protection locked="0"/>
    </xf>
    <xf numFmtId="49" fontId="59" fillId="2" borderId="22" xfId="0" applyNumberFormat="1" applyFont="1" applyFill="1" applyBorder="1" applyAlignment="1" applyProtection="1">
      <alignment horizontal="left" vertical="center"/>
      <protection locked="0"/>
    </xf>
    <xf numFmtId="0" fontId="59" fillId="2" borderId="0" xfId="0" applyFont="1" applyFill="1" applyAlignment="1" applyProtection="1">
      <alignment horizontal="left"/>
      <protection locked="0"/>
    </xf>
    <xf numFmtId="49" fontId="66" fillId="2" borderId="88" xfId="0" applyNumberFormat="1" applyFont="1" applyFill="1" applyBorder="1" applyAlignment="1" applyProtection="1">
      <alignment horizontal="left"/>
      <protection locked="0"/>
    </xf>
    <xf numFmtId="0" fontId="62" fillId="2" borderId="42" xfId="0" applyFont="1" applyFill="1" applyBorder="1" applyAlignment="1" applyProtection="1">
      <alignment horizontal="center" vertical="center" wrapText="1"/>
      <protection locked="0"/>
    </xf>
    <xf numFmtId="0" fontId="62" fillId="2" borderId="26" xfId="0" applyFont="1" applyFill="1" applyBorder="1" applyAlignment="1" applyProtection="1">
      <alignment horizontal="center" vertical="center" wrapText="1"/>
      <protection locked="0"/>
    </xf>
    <xf numFmtId="49" fontId="68" fillId="2" borderId="18" xfId="0" applyNumberFormat="1" applyFont="1" applyFill="1" applyBorder="1" applyAlignment="1" applyProtection="1">
      <alignment horizontal="left"/>
      <protection locked="0"/>
    </xf>
    <xf numFmtId="49" fontId="67" fillId="2" borderId="0" xfId="0" applyNumberFormat="1" applyFont="1" applyFill="1" applyBorder="1" applyAlignment="1" applyProtection="1">
      <alignment horizontal="center"/>
      <protection locked="0"/>
    </xf>
    <xf numFmtId="3" fontId="65" fillId="3" borderId="20" xfId="0" applyNumberFormat="1" applyFont="1" applyFill="1" applyBorder="1" applyAlignment="1" applyProtection="1">
      <alignment vertical="center"/>
      <protection locked="0"/>
    </xf>
    <xf numFmtId="49" fontId="70" fillId="2" borderId="29" xfId="0" applyNumberFormat="1" applyFont="1" applyFill="1" applyBorder="1" applyAlignment="1" applyProtection="1">
      <alignment horizontal="left"/>
      <protection locked="0"/>
    </xf>
    <xf numFmtId="0" fontId="61" fillId="2" borderId="30" xfId="0" applyFont="1" applyFill="1" applyBorder="1" applyAlignment="1" applyProtection="1">
      <alignment horizontal="center"/>
      <protection locked="0"/>
    </xf>
    <xf numFmtId="49" fontId="66" fillId="2" borderId="2" xfId="0" applyNumberFormat="1" applyFont="1" applyFill="1" applyBorder="1" applyAlignment="1" applyProtection="1">
      <alignment horizontal="center"/>
      <protection locked="0"/>
    </xf>
    <xf numFmtId="49" fontId="61" fillId="2" borderId="18" xfId="0" applyNumberFormat="1" applyFont="1" applyFill="1" applyBorder="1" applyAlignment="1" applyProtection="1">
      <alignment horizontal="left"/>
      <protection locked="0"/>
    </xf>
    <xf numFmtId="0" fontId="61" fillId="2" borderId="26" xfId="0" applyFont="1" applyFill="1" applyBorder="1" applyAlignment="1" applyProtection="1">
      <alignment horizontal="left"/>
      <protection locked="0"/>
    </xf>
    <xf numFmtId="49" fontId="61" fillId="2" borderId="0" xfId="0" applyNumberFormat="1" applyFont="1" applyFill="1" applyBorder="1" applyAlignment="1" applyProtection="1">
      <alignment horizontal="center"/>
      <protection locked="0"/>
    </xf>
    <xf numFmtId="49" fontId="69" fillId="2" borderId="18" xfId="0" applyNumberFormat="1" applyFont="1" applyFill="1" applyBorder="1" applyAlignment="1" applyProtection="1">
      <alignment horizontal="left"/>
      <protection locked="0"/>
    </xf>
    <xf numFmtId="3" fontId="67" fillId="2" borderId="0" xfId="0" applyNumberFormat="1" applyFont="1" applyFill="1" applyProtection="1">
      <protection locked="0"/>
    </xf>
    <xf numFmtId="3" fontId="67" fillId="19" borderId="0" xfId="0" applyNumberFormat="1" applyFont="1" applyFill="1" applyProtection="1">
      <protection locked="0"/>
    </xf>
    <xf numFmtId="49" fontId="59" fillId="2" borderId="18" xfId="0" applyNumberFormat="1" applyFont="1" applyFill="1" applyBorder="1" applyAlignment="1" applyProtection="1">
      <alignment horizontal="left"/>
      <protection locked="0"/>
    </xf>
    <xf numFmtId="0" fontId="67" fillId="2" borderId="26" xfId="0" applyFont="1" applyFill="1" applyBorder="1" applyAlignment="1" applyProtection="1">
      <alignment horizontal="left"/>
      <protection locked="0"/>
    </xf>
    <xf numFmtId="49" fontId="59" fillId="2" borderId="0" xfId="0" applyNumberFormat="1" applyFont="1" applyFill="1" applyBorder="1" applyAlignment="1" applyProtection="1">
      <alignment horizontal="center"/>
      <protection locked="0"/>
    </xf>
    <xf numFmtId="0" fontId="60" fillId="2" borderId="0" xfId="0" applyFont="1" applyFill="1" applyAlignment="1" applyProtection="1">
      <alignment horizontal="center"/>
      <protection locked="0"/>
    </xf>
    <xf numFmtId="3" fontId="59" fillId="2" borderId="0" xfId="0" applyNumberFormat="1" applyFont="1" applyFill="1" applyBorder="1" applyAlignment="1" applyProtection="1">
      <alignment horizontal="right"/>
      <protection locked="0"/>
    </xf>
    <xf numFmtId="3" fontId="70" fillId="2" borderId="0" xfId="0" applyNumberFormat="1" applyFont="1" applyFill="1" applyBorder="1" applyProtection="1">
      <protection locked="0"/>
    </xf>
    <xf numFmtId="2" fontId="70" fillId="2" borderId="0" xfId="0" applyNumberFormat="1" applyFont="1" applyFill="1" applyBorder="1" applyProtection="1">
      <protection locked="0"/>
    </xf>
    <xf numFmtId="2" fontId="66" fillId="2" borderId="0" xfId="0" applyNumberFormat="1" applyFont="1" applyFill="1" applyBorder="1" applyProtection="1">
      <protection locked="0"/>
    </xf>
    <xf numFmtId="0" fontId="59" fillId="19" borderId="32" xfId="0" applyFont="1" applyFill="1" applyBorder="1" applyAlignment="1" applyProtection="1">
      <alignment vertical="center"/>
      <protection locked="0"/>
    </xf>
    <xf numFmtId="0" fontId="59" fillId="2" borderId="32" xfId="0" applyFont="1" applyFill="1" applyBorder="1" applyAlignment="1" applyProtection="1">
      <alignment vertical="center"/>
      <protection locked="0"/>
    </xf>
    <xf numFmtId="0" fontId="59" fillId="2" borderId="32" xfId="0" applyFont="1" applyFill="1" applyBorder="1" applyProtection="1">
      <protection locked="0"/>
    </xf>
    <xf numFmtId="0" fontId="60" fillId="19" borderId="0" xfId="0" applyFont="1" applyFill="1" applyProtection="1">
      <protection locked="0"/>
    </xf>
    <xf numFmtId="3" fontId="59" fillId="2" borderId="0" xfId="0" applyNumberFormat="1" applyFont="1" applyFill="1" applyProtection="1">
      <protection locked="0"/>
    </xf>
    <xf numFmtId="0" fontId="59" fillId="2" borderId="0" xfId="0" applyFont="1" applyFill="1" applyBorder="1" applyProtection="1">
      <protection locked="0"/>
    </xf>
    <xf numFmtId="0" fontId="59" fillId="19" borderId="0" xfId="0" applyFont="1" applyFill="1" applyBorder="1" applyProtection="1">
      <protection locked="0"/>
    </xf>
    <xf numFmtId="0" fontId="59" fillId="5" borderId="0" xfId="0" applyFont="1" applyFill="1" applyBorder="1" applyProtection="1">
      <protection locked="0"/>
    </xf>
    <xf numFmtId="0" fontId="59" fillId="5" borderId="31" xfId="0" applyFont="1" applyFill="1" applyBorder="1" applyProtection="1">
      <protection locked="0"/>
    </xf>
    <xf numFmtId="0" fontId="59" fillId="2" borderId="36" xfId="0" applyFont="1" applyFill="1" applyBorder="1" applyProtection="1">
      <protection locked="0"/>
    </xf>
    <xf numFmtId="0" fontId="67" fillId="2" borderId="32" xfId="0" applyFont="1" applyFill="1" applyBorder="1" applyProtection="1">
      <protection locked="0"/>
    </xf>
    <xf numFmtId="49" fontId="69" fillId="2" borderId="18" xfId="0" applyNumberFormat="1" applyFont="1" applyFill="1" applyBorder="1" applyAlignment="1" applyProtection="1">
      <alignment horizontal="left" vertical="center"/>
      <protection locked="0"/>
    </xf>
    <xf numFmtId="0" fontId="69" fillId="2" borderId="26" xfId="0" applyFont="1" applyFill="1" applyBorder="1" applyAlignment="1" applyProtection="1">
      <alignment horizontal="left" vertical="center"/>
      <protection locked="0"/>
    </xf>
    <xf numFmtId="49" fontId="69" fillId="2" borderId="0" xfId="0" applyNumberFormat="1" applyFont="1" applyFill="1" applyBorder="1" applyAlignment="1" applyProtection="1">
      <alignment horizontal="center" vertical="center"/>
      <protection locked="0"/>
    </xf>
    <xf numFmtId="0" fontId="59" fillId="2" borderId="26" xfId="0" applyFont="1" applyFill="1" applyBorder="1" applyAlignment="1" applyProtection="1">
      <alignment horizontal="left"/>
      <protection locked="0"/>
    </xf>
    <xf numFmtId="49" fontId="60" fillId="2" borderId="0" xfId="0" applyNumberFormat="1" applyFont="1" applyFill="1" applyBorder="1" applyAlignment="1" applyProtection="1">
      <alignment horizontal="center"/>
      <protection locked="0"/>
    </xf>
    <xf numFmtId="2" fontId="60" fillId="2" borderId="21" xfId="0" applyNumberFormat="1" applyFont="1" applyFill="1" applyBorder="1" applyAlignment="1" applyProtection="1">
      <alignment horizontal="center"/>
      <protection locked="0"/>
    </xf>
    <xf numFmtId="49" fontId="66" fillId="2" borderId="29" xfId="0" applyNumberFormat="1" applyFont="1" applyFill="1" applyBorder="1" applyAlignment="1" applyProtection="1">
      <alignment horizontal="left"/>
      <protection locked="0"/>
    </xf>
    <xf numFmtId="0" fontId="66" fillId="2" borderId="30" xfId="0" applyFont="1" applyFill="1" applyBorder="1" applyAlignment="1" applyProtection="1">
      <alignment horizontal="left"/>
      <protection locked="0"/>
    </xf>
    <xf numFmtId="49" fontId="66" fillId="2" borderId="18" xfId="0" applyNumberFormat="1" applyFont="1" applyFill="1" applyBorder="1" applyAlignment="1" applyProtection="1">
      <alignment horizontal="left"/>
      <protection locked="0"/>
    </xf>
    <xf numFmtId="0" fontId="66" fillId="2" borderId="26" xfId="0" applyFont="1" applyFill="1" applyBorder="1" applyAlignment="1" applyProtection="1">
      <alignment horizontal="left"/>
      <protection locked="0"/>
    </xf>
    <xf numFmtId="49" fontId="66" fillId="2" borderId="0" xfId="0" applyNumberFormat="1" applyFont="1" applyFill="1" applyBorder="1" applyAlignment="1" applyProtection="1">
      <alignment horizontal="center"/>
      <protection locked="0"/>
    </xf>
    <xf numFmtId="49" fontId="67" fillId="2" borderId="18" xfId="0" applyNumberFormat="1" applyFont="1" applyFill="1" applyBorder="1" applyAlignment="1" applyProtection="1">
      <alignment horizontal="left"/>
      <protection locked="0"/>
    </xf>
    <xf numFmtId="49" fontId="59" fillId="19" borderId="27" xfId="0" applyNumberFormat="1" applyFont="1" applyFill="1" applyBorder="1" applyAlignment="1" applyProtection="1">
      <alignment horizontal="left"/>
      <protection locked="0"/>
    </xf>
    <xf numFmtId="49" fontId="68" fillId="2" borderId="26" xfId="0" applyNumberFormat="1" applyFont="1" applyFill="1" applyBorder="1" applyAlignment="1" applyProtection="1">
      <alignment horizontal="left" wrapText="1" indent="1"/>
      <protection locked="0"/>
    </xf>
    <xf numFmtId="49" fontId="67" fillId="19" borderId="27" xfId="0" applyNumberFormat="1" applyFont="1" applyFill="1" applyBorder="1" applyAlignment="1" applyProtection="1">
      <alignment horizontal="left"/>
      <protection locked="0"/>
    </xf>
    <xf numFmtId="49" fontId="67" fillId="2" borderId="26" xfId="0" applyNumberFormat="1" applyFont="1" applyFill="1" applyBorder="1" applyAlignment="1" applyProtection="1">
      <alignment horizontal="left" indent="5"/>
      <protection locked="0"/>
    </xf>
    <xf numFmtId="49" fontId="67" fillId="2" borderId="27" xfId="0" applyNumberFormat="1" applyFont="1" applyFill="1" applyBorder="1" applyAlignment="1" applyProtection="1">
      <alignment horizontal="left"/>
      <protection locked="0"/>
    </xf>
    <xf numFmtId="0" fontId="67" fillId="2" borderId="26" xfId="0" applyFont="1" applyFill="1" applyBorder="1" applyAlignment="1" applyProtection="1">
      <alignment horizontal="left" indent="3"/>
      <protection locked="0"/>
    </xf>
    <xf numFmtId="49" fontId="67" fillId="2" borderId="26" xfId="0" applyNumberFormat="1" applyFont="1" applyFill="1" applyBorder="1" applyAlignment="1" applyProtection="1">
      <alignment horizontal="left" wrapText="1" indent="2"/>
      <protection locked="0"/>
    </xf>
    <xf numFmtId="49" fontId="63" fillId="19" borderId="89" xfId="0" applyNumberFormat="1" applyFont="1" applyFill="1" applyBorder="1" applyAlignment="1" applyProtection="1">
      <alignment horizontal="left"/>
      <protection locked="0"/>
    </xf>
    <xf numFmtId="49" fontId="67" fillId="2" borderId="26" xfId="0" applyNumberFormat="1" applyFont="1" applyFill="1" applyBorder="1" applyAlignment="1" applyProtection="1">
      <alignment horizontal="left" indent="1"/>
      <protection locked="0"/>
    </xf>
    <xf numFmtId="2" fontId="67" fillId="19" borderId="0" xfId="0" applyNumberFormat="1" applyFont="1" applyFill="1" applyProtection="1">
      <protection locked="0"/>
    </xf>
    <xf numFmtId="49" fontId="59" fillId="2" borderId="22" xfId="0" applyNumberFormat="1" applyFont="1" applyFill="1" applyBorder="1" applyAlignment="1" applyProtection="1">
      <alignment horizontal="left"/>
      <protection locked="0"/>
    </xf>
    <xf numFmtId="49" fontId="67" fillId="2" borderId="26" xfId="0" applyNumberFormat="1" applyFont="1" applyFill="1" applyBorder="1" applyAlignment="1" applyProtection="1">
      <alignment horizontal="left" indent="8"/>
      <protection locked="0"/>
    </xf>
    <xf numFmtId="2" fontId="67" fillId="2" borderId="0" xfId="0" applyNumberFormat="1" applyFont="1" applyFill="1" applyBorder="1" applyProtection="1">
      <protection locked="0"/>
    </xf>
    <xf numFmtId="2" fontId="67" fillId="2" borderId="0" xfId="0" applyNumberFormat="1" applyFont="1" applyFill="1" applyProtection="1">
      <protection locked="0"/>
    </xf>
    <xf numFmtId="2" fontId="67" fillId="19" borderId="0" xfId="0" applyNumberFormat="1" applyFont="1" applyFill="1" applyBorder="1" applyProtection="1">
      <protection locked="0"/>
    </xf>
    <xf numFmtId="2" fontId="67" fillId="5" borderId="0" xfId="0" applyNumberFormat="1" applyFont="1" applyFill="1" applyBorder="1" applyProtection="1">
      <protection locked="0"/>
    </xf>
    <xf numFmtId="49" fontId="63" fillId="19" borderId="27" xfId="0" applyNumberFormat="1" applyFont="1" applyFill="1" applyBorder="1" applyAlignment="1" applyProtection="1">
      <alignment horizontal="left"/>
      <protection locked="0"/>
    </xf>
    <xf numFmtId="49" fontId="63" fillId="2" borderId="18" xfId="0" applyNumberFormat="1" applyFont="1" applyFill="1" applyBorder="1" applyAlignment="1" applyProtection="1">
      <alignment horizontal="left"/>
      <protection locked="0"/>
    </xf>
    <xf numFmtId="4" fontId="63" fillId="2" borderId="0" xfId="0" applyNumberFormat="1" applyFont="1" applyFill="1" applyProtection="1">
      <protection locked="0"/>
    </xf>
    <xf numFmtId="49" fontId="69" fillId="2" borderId="0" xfId="0" applyNumberFormat="1" applyFont="1" applyFill="1" applyBorder="1" applyAlignment="1" applyProtection="1">
      <alignment horizontal="center"/>
      <protection locked="0"/>
    </xf>
    <xf numFmtId="49" fontId="63" fillId="2" borderId="0" xfId="0" applyNumberFormat="1" applyFont="1" applyFill="1" applyBorder="1" applyAlignment="1" applyProtection="1">
      <alignment horizontal="center"/>
      <protection locked="0"/>
    </xf>
    <xf numFmtId="2" fontId="63" fillId="2" borderId="0" xfId="0" applyNumberFormat="1" applyFont="1" applyFill="1" applyProtection="1">
      <protection locked="0"/>
    </xf>
    <xf numFmtId="3" fontId="63" fillId="2" borderId="0" xfId="0" applyNumberFormat="1" applyFont="1" applyFill="1" applyProtection="1">
      <protection locked="0"/>
    </xf>
    <xf numFmtId="0" fontId="63" fillId="2" borderId="26" xfId="0" applyFont="1" applyFill="1" applyBorder="1" applyAlignment="1" applyProtection="1">
      <alignment horizontal="left"/>
      <protection locked="0"/>
    </xf>
    <xf numFmtId="3" fontId="68" fillId="2" borderId="6" xfId="0" applyNumberFormat="1" applyFont="1" applyFill="1" applyBorder="1" applyProtection="1">
      <protection locked="0"/>
    </xf>
    <xf numFmtId="3" fontId="68" fillId="2" borderId="2" xfId="0" applyNumberFormat="1" applyFont="1" applyFill="1" applyBorder="1" applyProtection="1">
      <protection locked="0"/>
    </xf>
    <xf numFmtId="1" fontId="60" fillId="2" borderId="0" xfId="0" applyNumberFormat="1" applyFont="1" applyFill="1" applyProtection="1">
      <protection locked="0"/>
    </xf>
    <xf numFmtId="3" fontId="68" fillId="2" borderId="0" xfId="0" applyNumberFormat="1" applyFont="1" applyFill="1" applyProtection="1">
      <protection locked="0"/>
    </xf>
    <xf numFmtId="0" fontId="63" fillId="19" borderId="0" xfId="0" applyFont="1" applyFill="1" applyProtection="1">
      <protection locked="0"/>
    </xf>
    <xf numFmtId="0" fontId="63" fillId="2" borderId="8" xfId="0" applyFont="1" applyFill="1" applyBorder="1" applyProtection="1">
      <protection locked="0"/>
    </xf>
    <xf numFmtId="0" fontId="67" fillId="2" borderId="6" xfId="0" applyFont="1" applyFill="1" applyBorder="1" applyProtection="1">
      <protection locked="0"/>
    </xf>
    <xf numFmtId="0" fontId="67" fillId="2" borderId="7" xfId="0" applyFont="1" applyFill="1" applyBorder="1" applyProtection="1">
      <protection locked="0"/>
    </xf>
    <xf numFmtId="0" fontId="69" fillId="2" borderId="26" xfId="0" applyFont="1" applyFill="1" applyBorder="1" applyAlignment="1" applyProtection="1">
      <alignment horizontal="left" wrapText="1"/>
      <protection locked="0"/>
    </xf>
    <xf numFmtId="2" fontId="60" fillId="18" borderId="0" xfId="0" applyNumberFormat="1" applyFont="1" applyFill="1" applyProtection="1">
      <protection locked="0"/>
    </xf>
    <xf numFmtId="2" fontId="60" fillId="2" borderId="0" xfId="0" applyNumberFormat="1" applyFont="1" applyFill="1" applyProtection="1">
      <protection locked="0"/>
    </xf>
    <xf numFmtId="2" fontId="60" fillId="3" borderId="0" xfId="0" applyNumberFormat="1" applyFont="1" applyFill="1" applyProtection="1">
      <protection locked="0"/>
    </xf>
    <xf numFmtId="2" fontId="67" fillId="17" borderId="0" xfId="0" applyNumberFormat="1" applyFont="1" applyFill="1" applyProtection="1">
      <protection locked="0"/>
    </xf>
    <xf numFmtId="3" fontId="59" fillId="2" borderId="90" xfId="0" applyNumberFormat="1" applyFont="1" applyFill="1" applyBorder="1" applyAlignment="1" applyProtection="1">
      <alignment horizontal="right"/>
      <protection locked="0"/>
    </xf>
    <xf numFmtId="2" fontId="67" fillId="5" borderId="90" xfId="0" applyNumberFormat="1" applyFont="1" applyFill="1" applyBorder="1" applyProtection="1">
      <protection locked="0"/>
    </xf>
    <xf numFmtId="0" fontId="68" fillId="2" borderId="8" xfId="0" applyFont="1" applyFill="1" applyBorder="1" applyAlignment="1" applyProtection="1">
      <alignment horizontal="center"/>
      <protection locked="0"/>
    </xf>
    <xf numFmtId="0" fontId="68" fillId="2" borderId="2" xfId="0" applyFont="1" applyFill="1" applyBorder="1" applyAlignment="1" applyProtection="1">
      <alignment horizontal="center"/>
      <protection locked="0"/>
    </xf>
    <xf numFmtId="3" fontId="68" fillId="2" borderId="2" xfId="0" applyNumberFormat="1" applyFont="1" applyFill="1" applyBorder="1" applyAlignment="1" applyProtection="1">
      <alignment horizontal="center"/>
      <protection locked="0"/>
    </xf>
    <xf numFmtId="0" fontId="67" fillId="22" borderId="0" xfId="0" applyFont="1" applyFill="1" applyProtection="1">
      <protection locked="0"/>
    </xf>
    <xf numFmtId="1" fontId="68" fillId="2" borderId="0" xfId="0" applyNumberFormat="1" applyFont="1" applyFill="1" applyProtection="1">
      <protection locked="0"/>
    </xf>
    <xf numFmtId="3" fontId="68" fillId="2" borderId="9" xfId="0" applyNumberFormat="1" applyFont="1" applyFill="1" applyBorder="1" applyAlignment="1" applyProtection="1">
      <alignment horizontal="center"/>
      <protection locked="0"/>
    </xf>
    <xf numFmtId="3" fontId="68" fillId="2" borderId="0" xfId="0" applyNumberFormat="1" applyFont="1" applyFill="1" applyAlignment="1" applyProtection="1">
      <alignment horizontal="center"/>
      <protection locked="0"/>
    </xf>
    <xf numFmtId="0" fontId="60" fillId="20" borderId="0" xfId="0" applyFont="1" applyFill="1" applyProtection="1">
      <protection locked="0"/>
    </xf>
    <xf numFmtId="4" fontId="59" fillId="2" borderId="0" xfId="0" applyNumberFormat="1" applyFont="1" applyFill="1" applyProtection="1">
      <protection locked="0"/>
    </xf>
    <xf numFmtId="49" fontId="70" fillId="2" borderId="43" xfId="0" applyNumberFormat="1" applyFont="1" applyFill="1" applyBorder="1" applyAlignment="1" applyProtection="1">
      <alignment horizontal="left"/>
      <protection locked="0"/>
    </xf>
    <xf numFmtId="0" fontId="70" fillId="2" borderId="42" xfId="0" applyFont="1" applyFill="1" applyBorder="1" applyAlignment="1" applyProtection="1">
      <alignment horizontal="left"/>
      <protection locked="0"/>
    </xf>
    <xf numFmtId="49" fontId="70" fillId="2" borderId="1" xfId="0" applyNumberFormat="1" applyFont="1" applyFill="1" applyBorder="1" applyAlignment="1" applyProtection="1">
      <alignment horizontal="center"/>
      <protection locked="0"/>
    </xf>
    <xf numFmtId="0" fontId="70" fillId="2" borderId="0" xfId="0" applyFont="1" applyFill="1" applyBorder="1" applyAlignment="1" applyProtection="1">
      <alignment horizontal="left"/>
      <protection locked="0"/>
    </xf>
    <xf numFmtId="49" fontId="70" fillId="2" borderId="0" xfId="0" applyNumberFormat="1" applyFont="1" applyFill="1" applyBorder="1" applyAlignment="1" applyProtection="1">
      <alignment horizontal="center"/>
      <protection locked="0"/>
    </xf>
    <xf numFmtId="2" fontId="67" fillId="20" borderId="0" xfId="0" applyNumberFormat="1" applyFont="1" applyFill="1" applyProtection="1">
      <protection locked="0"/>
    </xf>
    <xf numFmtId="2" fontId="67" fillId="5" borderId="0" xfId="0" applyNumberFormat="1" applyFont="1" applyFill="1" applyProtection="1">
      <protection locked="0"/>
    </xf>
    <xf numFmtId="0" fontId="69" fillId="5" borderId="32" xfId="0" applyFont="1" applyFill="1" applyBorder="1" applyProtection="1">
      <protection locked="0"/>
    </xf>
    <xf numFmtId="2" fontId="67" fillId="21" borderId="0" xfId="0" applyNumberFormat="1" applyFont="1" applyFill="1" applyProtection="1">
      <protection locked="0"/>
    </xf>
    <xf numFmtId="0" fontId="60" fillId="21" borderId="0" xfId="0" applyFont="1" applyFill="1" applyProtection="1">
      <protection locked="0"/>
    </xf>
    <xf numFmtId="2" fontId="67" fillId="6" borderId="0" xfId="0" applyNumberFormat="1" applyFont="1" applyFill="1" applyProtection="1">
      <protection locked="0"/>
    </xf>
    <xf numFmtId="0" fontId="69" fillId="6" borderId="32" xfId="0" applyFont="1" applyFill="1" applyBorder="1" applyProtection="1">
      <protection locked="0"/>
    </xf>
    <xf numFmtId="0" fontId="67" fillId="6" borderId="32" xfId="0" applyFont="1" applyFill="1" applyBorder="1" applyProtection="1">
      <protection locked="0"/>
    </xf>
    <xf numFmtId="0" fontId="59" fillId="6" borderId="32" xfId="0" applyFont="1" applyFill="1" applyBorder="1" applyProtection="1">
      <protection locked="0"/>
    </xf>
    <xf numFmtId="49" fontId="59" fillId="6" borderId="27" xfId="0" applyNumberFormat="1" applyFont="1" applyFill="1" applyBorder="1" applyAlignment="1" applyProtection="1">
      <alignment horizontal="left"/>
      <protection locked="0"/>
    </xf>
    <xf numFmtId="0" fontId="69" fillId="6" borderId="34" xfId="0" applyFont="1" applyFill="1" applyBorder="1" applyProtection="1">
      <protection locked="0"/>
    </xf>
    <xf numFmtId="0" fontId="63" fillId="6" borderId="36" xfId="0" applyFont="1" applyFill="1" applyBorder="1" applyProtection="1">
      <protection locked="0"/>
    </xf>
    <xf numFmtId="49" fontId="67" fillId="6" borderId="32" xfId="0" applyNumberFormat="1" applyFont="1" applyFill="1" applyBorder="1" applyAlignment="1" applyProtection="1">
      <alignment horizontal="center"/>
      <protection locked="0"/>
    </xf>
    <xf numFmtId="49" fontId="67" fillId="6" borderId="27" xfId="0" applyNumberFormat="1" applyFont="1" applyFill="1" applyBorder="1" applyAlignment="1" applyProtection="1">
      <alignment horizontal="left"/>
      <protection locked="0"/>
    </xf>
    <xf numFmtId="49" fontId="63" fillId="6" borderId="89" xfId="0" applyNumberFormat="1" applyFont="1" applyFill="1" applyBorder="1" applyAlignment="1" applyProtection="1">
      <alignment horizontal="left"/>
      <protection locked="0"/>
    </xf>
    <xf numFmtId="0" fontId="59" fillId="6" borderId="0" xfId="0" applyFont="1" applyFill="1" applyProtection="1">
      <protection locked="0"/>
    </xf>
    <xf numFmtId="0" fontId="67" fillId="6" borderId="0" xfId="0" applyFont="1" applyFill="1" applyProtection="1">
      <protection locked="0"/>
    </xf>
    <xf numFmtId="2" fontId="63" fillId="6" borderId="0" xfId="0" applyNumberFormat="1" applyFont="1" applyFill="1" applyProtection="1">
      <protection locked="0"/>
    </xf>
    <xf numFmtId="0" fontId="69" fillId="6" borderId="0" xfId="0" applyFont="1" applyFill="1" applyProtection="1">
      <protection locked="0"/>
    </xf>
    <xf numFmtId="49" fontId="63" fillId="6" borderId="27" xfId="0" applyNumberFormat="1" applyFont="1" applyFill="1" applyBorder="1" applyAlignment="1" applyProtection="1">
      <alignment horizontal="left"/>
      <protection locked="0"/>
    </xf>
    <xf numFmtId="3" fontId="67" fillId="6" borderId="0" xfId="0" applyNumberFormat="1" applyFont="1" applyFill="1" applyProtection="1">
      <protection locked="0"/>
    </xf>
    <xf numFmtId="0" fontId="63" fillId="6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70" fillId="2" borderId="1" xfId="0" applyFont="1" applyFill="1" applyBorder="1" applyProtection="1">
      <protection locked="0"/>
    </xf>
    <xf numFmtId="49" fontId="69" fillId="2" borderId="43" xfId="0" applyNumberFormat="1" applyFont="1" applyFill="1" applyBorder="1" applyAlignment="1" applyProtection="1">
      <alignment horizontal="left"/>
      <protection locked="0"/>
    </xf>
    <xf numFmtId="49" fontId="70" fillId="2" borderId="0" xfId="0" applyNumberFormat="1" applyFont="1" applyFill="1" applyBorder="1" applyAlignment="1" applyProtection="1">
      <alignment horizontal="left"/>
      <protection locked="0"/>
    </xf>
    <xf numFmtId="49" fontId="57" fillId="2" borderId="1" xfId="0" applyNumberFormat="1" applyFont="1" applyFill="1" applyBorder="1" applyAlignment="1" applyProtection="1">
      <alignment horizontal="left"/>
      <protection locked="0"/>
    </xf>
    <xf numFmtId="49" fontId="67" fillId="2" borderId="32" xfId="0" applyNumberFormat="1" applyFont="1" applyFill="1" applyBorder="1" applyAlignment="1" applyProtection="1">
      <alignment wrapText="1"/>
      <protection locked="0"/>
    </xf>
    <xf numFmtId="49" fontId="67" fillId="2" borderId="0" xfId="0" applyNumberFormat="1" applyFont="1" applyFill="1" applyBorder="1" applyAlignment="1" applyProtection="1">
      <alignment horizontal="left"/>
      <protection locked="0"/>
    </xf>
    <xf numFmtId="49" fontId="67" fillId="2" borderId="14" xfId="0" applyNumberFormat="1" applyFont="1" applyFill="1" applyBorder="1" applyAlignment="1" applyProtection="1">
      <alignment horizontal="left"/>
      <protection locked="0"/>
    </xf>
    <xf numFmtId="49" fontId="62" fillId="2" borderId="79" xfId="0" applyNumberFormat="1" applyFont="1" applyFill="1" applyBorder="1" applyAlignment="1" applyProtection="1">
      <alignment horizontal="center" vertical="center" wrapText="1"/>
      <protection locked="0"/>
    </xf>
    <xf numFmtId="49" fontId="6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7" fillId="6" borderId="32" xfId="0" applyNumberFormat="1" applyFont="1" applyFill="1" applyBorder="1" applyAlignment="1" applyProtection="1">
      <alignment wrapText="1"/>
      <protection locked="0"/>
    </xf>
    <xf numFmtId="2" fontId="67" fillId="5" borderId="18" xfId="0" applyNumberFormat="1" applyFont="1" applyFill="1" applyBorder="1" applyProtection="1">
      <protection locked="0"/>
    </xf>
    <xf numFmtId="2" fontId="67" fillId="4" borderId="0" xfId="0" applyNumberFormat="1" applyFont="1" applyFill="1" applyProtection="1">
      <protection locked="0"/>
    </xf>
    <xf numFmtId="2" fontId="67" fillId="2" borderId="1" xfId="0" applyNumberFormat="1" applyFont="1" applyFill="1" applyBorder="1" applyProtection="1">
      <protection locked="0"/>
    </xf>
    <xf numFmtId="49" fontId="67" fillId="2" borderId="91" xfId="0" applyNumberFormat="1" applyFont="1" applyFill="1" applyBorder="1" applyAlignment="1" applyProtection="1">
      <alignment wrapText="1"/>
      <protection locked="0"/>
    </xf>
    <xf numFmtId="0" fontId="70" fillId="2" borderId="0" xfId="0" applyFont="1" applyFill="1" applyAlignment="1" applyProtection="1">
      <alignment horizontal="left"/>
      <protection locked="0"/>
    </xf>
    <xf numFmtId="49" fontId="70" fillId="2" borderId="0" xfId="0" applyNumberFormat="1" applyFont="1" applyFill="1" applyAlignment="1" applyProtection="1">
      <alignment horizontal="right"/>
      <protection locked="0"/>
    </xf>
    <xf numFmtId="49" fontId="59" fillId="2" borderId="0" xfId="0" applyNumberFormat="1" applyFont="1" applyFill="1" applyAlignment="1" applyProtection="1">
      <alignment horizontal="right"/>
      <protection locked="0"/>
    </xf>
    <xf numFmtId="3" fontId="60" fillId="18" borderId="0" xfId="0" applyNumberFormat="1" applyFont="1" applyFill="1" applyProtection="1"/>
    <xf numFmtId="3" fontId="76" fillId="3" borderId="21" xfId="0" applyNumberFormat="1" applyFont="1" applyFill="1" applyBorder="1" applyAlignment="1" applyProtection="1">
      <alignment vertical="center"/>
    </xf>
    <xf numFmtId="3" fontId="67" fillId="2" borderId="18" xfId="0" applyNumberFormat="1" applyFont="1" applyFill="1" applyBorder="1" applyAlignment="1" applyProtection="1">
      <alignment horizontal="right"/>
    </xf>
    <xf numFmtId="3" fontId="67" fillId="2" borderId="0" xfId="0" applyNumberFormat="1" applyFont="1" applyFill="1" applyProtection="1"/>
    <xf numFmtId="3" fontId="69" fillId="19" borderId="31" xfId="0" applyNumberFormat="1" applyFont="1" applyFill="1" applyBorder="1" applyAlignment="1" applyProtection="1"/>
    <xf numFmtId="3" fontId="67" fillId="19" borderId="31" xfId="0" applyNumberFormat="1" applyFont="1" applyFill="1" applyBorder="1" applyAlignment="1" applyProtection="1">
      <alignment horizontal="right"/>
    </xf>
    <xf numFmtId="4" fontId="63" fillId="2" borderId="0" xfId="0" applyNumberFormat="1" applyFont="1" applyFill="1" applyProtection="1"/>
    <xf numFmtId="2" fontId="63" fillId="2" borderId="0" xfId="0" applyNumberFormat="1" applyFont="1" applyFill="1" applyProtection="1"/>
    <xf numFmtId="2" fontId="63" fillId="19" borderId="0" xfId="0" applyNumberFormat="1" applyFont="1" applyFill="1" applyProtection="1"/>
    <xf numFmtId="3" fontId="68" fillId="2" borderId="6" xfId="0" applyNumberFormat="1" applyFont="1" applyFill="1" applyBorder="1" applyProtection="1"/>
    <xf numFmtId="3" fontId="68" fillId="2" borderId="7" xfId="0" applyNumberFormat="1" applyFont="1" applyFill="1" applyBorder="1" applyProtection="1"/>
    <xf numFmtId="3" fontId="68" fillId="2" borderId="2" xfId="0" applyNumberFormat="1" applyFont="1" applyFill="1" applyBorder="1" applyProtection="1"/>
    <xf numFmtId="3" fontId="68" fillId="2" borderId="9" xfId="0" applyNumberFormat="1" applyFont="1" applyFill="1" applyBorder="1" applyProtection="1"/>
    <xf numFmtId="0" fontId="63" fillId="2" borderId="0" xfId="0" applyFont="1" applyFill="1" applyProtection="1"/>
    <xf numFmtId="0" fontId="63" fillId="19" borderId="0" xfId="0" applyFont="1" applyFill="1" applyProtection="1"/>
    <xf numFmtId="4" fontId="68" fillId="17" borderId="0" xfId="0" applyNumberFormat="1" applyFont="1" applyFill="1" applyBorder="1" applyAlignment="1" applyProtection="1">
      <alignment horizontal="center"/>
    </xf>
    <xf numFmtId="3" fontId="68" fillId="17" borderId="0" xfId="0" applyNumberFormat="1" applyFont="1" applyFill="1" applyBorder="1" applyAlignment="1" applyProtection="1">
      <alignment horizontal="center"/>
    </xf>
    <xf numFmtId="3" fontId="68" fillId="17" borderId="17" xfId="0" applyNumberFormat="1" applyFont="1" applyFill="1" applyBorder="1" applyAlignment="1" applyProtection="1">
      <alignment horizontal="center"/>
    </xf>
    <xf numFmtId="4" fontId="68" fillId="2" borderId="92" xfId="0" applyNumberFormat="1" applyFont="1" applyFill="1" applyBorder="1" applyProtection="1"/>
    <xf numFmtId="4" fontId="60" fillId="20" borderId="0" xfId="0" applyNumberFormat="1" applyFont="1" applyFill="1" applyProtection="1"/>
    <xf numFmtId="3" fontId="67" fillId="2" borderId="90" xfId="0" applyNumberFormat="1" applyFont="1" applyFill="1" applyBorder="1" applyAlignment="1" applyProtection="1"/>
    <xf numFmtId="4" fontId="59" fillId="2" borderId="0" xfId="0" applyNumberFormat="1" applyFont="1" applyFill="1" applyProtection="1"/>
    <xf numFmtId="0" fontId="10" fillId="0" borderId="0" xfId="0" applyFont="1" applyProtection="1">
      <protection locked="0"/>
    </xf>
    <xf numFmtId="49" fontId="30" fillId="2" borderId="26" xfId="0" applyNumberFormat="1" applyFont="1" applyFill="1" applyBorder="1" applyAlignment="1">
      <alignment horizontal="left" indent="1"/>
    </xf>
    <xf numFmtId="49" fontId="16" fillId="22" borderId="18" xfId="0" applyNumberFormat="1" applyFont="1" applyFill="1" applyBorder="1" applyAlignment="1" applyProtection="1">
      <alignment horizontal="left"/>
      <protection hidden="1"/>
    </xf>
    <xf numFmtId="49" fontId="16" fillId="22" borderId="43" xfId="0" applyNumberFormat="1" applyFont="1" applyFill="1" applyBorder="1" applyAlignment="1" applyProtection="1">
      <alignment horizontal="left"/>
      <protection hidden="1"/>
    </xf>
    <xf numFmtId="166" fontId="77" fillId="0" borderId="0" xfId="2" applyNumberFormat="1" applyFont="1" applyBorder="1" applyAlignment="1">
      <alignment horizontal="left" wrapText="1"/>
    </xf>
    <xf numFmtId="0" fontId="70" fillId="0" borderId="0" xfId="2" applyFont="1"/>
    <xf numFmtId="0" fontId="70" fillId="11" borderId="0" xfId="2" applyFont="1" applyFill="1"/>
    <xf numFmtId="0" fontId="70" fillId="0" borderId="92" xfId="2" applyFont="1" applyFill="1" applyBorder="1" applyAlignment="1">
      <alignment horizontal="center"/>
    </xf>
    <xf numFmtId="0" fontId="70" fillId="0" borderId="92" xfId="2" applyFont="1" applyBorder="1" applyAlignment="1">
      <alignment horizontal="center" vertical="center"/>
    </xf>
    <xf numFmtId="0" fontId="70" fillId="0" borderId="92" xfId="2" applyFont="1" applyBorder="1" applyAlignment="1">
      <alignment wrapText="1"/>
    </xf>
    <xf numFmtId="9" fontId="70" fillId="26" borderId="92" xfId="2" applyNumberFormat="1" applyFont="1" applyFill="1" applyBorder="1"/>
    <xf numFmtId="3" fontId="70" fillId="26" borderId="93" xfId="2" applyNumberFormat="1" applyFont="1" applyFill="1" applyBorder="1"/>
    <xf numFmtId="3" fontId="70" fillId="26" borderId="92" xfId="2" applyNumberFormat="1" applyFont="1" applyFill="1" applyBorder="1" applyAlignment="1"/>
    <xf numFmtId="3" fontId="70" fillId="26" borderId="94" xfId="2" applyNumberFormat="1" applyFont="1" applyFill="1" applyBorder="1" applyAlignment="1"/>
    <xf numFmtId="3" fontId="70" fillId="26" borderId="92" xfId="2" applyNumberFormat="1" applyFont="1" applyFill="1" applyBorder="1"/>
    <xf numFmtId="3" fontId="70" fillId="26" borderId="92" xfId="2" applyNumberFormat="1" applyFont="1" applyFill="1" applyBorder="1" applyAlignment="1">
      <alignment horizontal="right"/>
    </xf>
    <xf numFmtId="1" fontId="70" fillId="26" borderId="92" xfId="2" applyNumberFormat="1" applyFont="1" applyFill="1" applyBorder="1" applyAlignment="1">
      <alignment horizontal="right"/>
    </xf>
    <xf numFmtId="167" fontId="70" fillId="26" borderId="92" xfId="2" applyNumberFormat="1" applyFont="1" applyFill="1" applyBorder="1"/>
    <xf numFmtId="0" fontId="68" fillId="27" borderId="92" xfId="2" applyFont="1" applyFill="1" applyBorder="1" applyAlignment="1">
      <alignment horizontal="center" vertical="center"/>
    </xf>
    <xf numFmtId="0" fontId="68" fillId="27" borderId="92" xfId="2" applyFont="1" applyFill="1" applyBorder="1" applyAlignment="1">
      <alignment wrapText="1"/>
    </xf>
    <xf numFmtId="0" fontId="68" fillId="27" borderId="92" xfId="2" applyFont="1" applyFill="1" applyBorder="1"/>
    <xf numFmtId="3" fontId="68" fillId="27" borderId="93" xfId="2" applyNumberFormat="1" applyFont="1" applyFill="1" applyBorder="1"/>
    <xf numFmtId="3" fontId="68" fillId="27" borderId="92" xfId="2" applyNumberFormat="1" applyFont="1" applyFill="1" applyBorder="1" applyAlignment="1"/>
    <xf numFmtId="3" fontId="68" fillId="27" borderId="94" xfId="2" applyNumberFormat="1" applyFont="1" applyFill="1" applyBorder="1" applyAlignment="1"/>
    <xf numFmtId="0" fontId="68" fillId="27" borderId="0" xfId="2" applyFont="1" applyFill="1"/>
    <xf numFmtId="0" fontId="70" fillId="0" borderId="92" xfId="2" applyFont="1" applyBorder="1"/>
    <xf numFmtId="0" fontId="70" fillId="0" borderId="93" xfId="2" applyFont="1" applyBorder="1"/>
    <xf numFmtId="3" fontId="70" fillId="0" borderId="92" xfId="2" applyNumberFormat="1" applyFont="1" applyBorder="1" applyAlignment="1"/>
    <xf numFmtId="3" fontId="70" fillId="0" borderId="94" xfId="2" applyNumberFormat="1" applyFont="1" applyBorder="1" applyAlignment="1"/>
    <xf numFmtId="0" fontId="70" fillId="0" borderId="0" xfId="2" applyFont="1" applyAlignment="1">
      <alignment horizontal="center"/>
    </xf>
    <xf numFmtId="0" fontId="70" fillId="0" borderId="95" xfId="2" applyFont="1" applyBorder="1"/>
    <xf numFmtId="49" fontId="59" fillId="2" borderId="0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Alignment="1" applyProtection="1">
      <alignment horizontal="center"/>
      <protection locked="0"/>
    </xf>
    <xf numFmtId="49" fontId="10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left" wrapText="1"/>
      <protection hidden="1"/>
    </xf>
    <xf numFmtId="49" fontId="67" fillId="2" borderId="96" xfId="0" applyNumberFormat="1" applyFont="1" applyFill="1" applyBorder="1" applyAlignment="1" applyProtection="1">
      <alignment wrapText="1"/>
      <protection locked="0"/>
    </xf>
    <xf numFmtId="3" fontId="67" fillId="19" borderId="32" xfId="0" applyNumberFormat="1" applyFont="1" applyFill="1" applyBorder="1" applyProtection="1">
      <protection locked="0"/>
    </xf>
    <xf numFmtId="3" fontId="69" fillId="2" borderId="0" xfId="0" applyNumberFormat="1" applyFont="1" applyFill="1" applyProtection="1">
      <protection locked="0"/>
    </xf>
    <xf numFmtId="49" fontId="8" fillId="0" borderId="0" xfId="0" applyNumberFormat="1" applyFont="1" applyFill="1" applyBorder="1" applyAlignment="1" applyProtection="1">
      <alignment horizontal="left"/>
      <protection hidden="1"/>
    </xf>
    <xf numFmtId="49" fontId="12" fillId="0" borderId="0" xfId="0" applyNumberFormat="1" applyFont="1" applyFill="1" applyAlignment="1" applyProtection="1">
      <alignment horizontal="center"/>
      <protection hidden="1"/>
    </xf>
    <xf numFmtId="3" fontId="12" fillId="2" borderId="0" xfId="0" applyNumberFormat="1" applyFont="1" applyFill="1" applyAlignment="1" applyProtection="1">
      <protection hidden="1"/>
    </xf>
    <xf numFmtId="0" fontId="12" fillId="2" borderId="0" xfId="0" applyFont="1" applyFill="1" applyAlignment="1" applyProtection="1">
      <protection hidden="1"/>
    </xf>
    <xf numFmtId="0" fontId="12" fillId="0" borderId="97" xfId="7" applyFont="1" applyFill="1" applyBorder="1"/>
    <xf numFmtId="0" fontId="12" fillId="0" borderId="97" xfId="7" applyFont="1" applyFill="1" applyBorder="1" applyAlignment="1">
      <alignment horizontal="center"/>
    </xf>
    <xf numFmtId="3" fontId="12" fillId="0" borderId="97" xfId="10" applyNumberFormat="1" applyFont="1" applyFill="1" applyBorder="1" applyAlignment="1">
      <alignment horizontal="center"/>
    </xf>
    <xf numFmtId="0" fontId="12" fillId="0" borderId="98" xfId="7" applyFont="1" applyFill="1" applyBorder="1" applyAlignment="1">
      <alignment horizontal="center" vertical="center" wrapText="1"/>
    </xf>
    <xf numFmtId="3" fontId="12" fillId="0" borderId="98" xfId="7" applyNumberFormat="1" applyFont="1" applyFill="1" applyBorder="1" applyAlignment="1">
      <alignment horizontal="center" vertical="center" wrapText="1"/>
    </xf>
    <xf numFmtId="0" fontId="12" fillId="0" borderId="99" xfId="7" applyFont="1" applyFill="1" applyBorder="1" applyAlignment="1">
      <alignment horizontal="center" vertical="center" wrapText="1"/>
    </xf>
    <xf numFmtId="0" fontId="12" fillId="0" borderId="97" xfId="7" applyFont="1" applyFill="1" applyBorder="1" applyAlignment="1">
      <alignment horizontal="center" vertical="center" wrapText="1"/>
    </xf>
    <xf numFmtId="0" fontId="12" fillId="28" borderId="100" xfId="7" applyFont="1" applyFill="1" applyBorder="1" applyAlignment="1">
      <alignment horizontal="center" vertical="center"/>
    </xf>
    <xf numFmtId="0" fontId="12" fillId="28" borderId="100" xfId="7" applyFont="1" applyFill="1" applyBorder="1" applyAlignment="1">
      <alignment vertical="center"/>
    </xf>
    <xf numFmtId="3" fontId="12" fillId="28" borderId="100" xfId="7" applyNumberFormat="1" applyFont="1" applyFill="1" applyBorder="1" applyAlignment="1">
      <alignment vertical="center"/>
    </xf>
    <xf numFmtId="0" fontId="12" fillId="0" borderId="98" xfId="7" applyFont="1" applyFill="1" applyBorder="1" applyAlignment="1">
      <alignment horizontal="center" vertical="center"/>
    </xf>
    <xf numFmtId="0" fontId="12" fillId="0" borderId="98" xfId="7" applyFont="1" applyFill="1" applyBorder="1" applyAlignment="1">
      <alignment vertical="center"/>
    </xf>
    <xf numFmtId="3" fontId="12" fillId="0" borderId="98" xfId="7" applyNumberFormat="1" applyFont="1" applyFill="1" applyBorder="1" applyAlignment="1">
      <alignment vertical="center"/>
    </xf>
    <xf numFmtId="0" fontId="12" fillId="0" borderId="99" xfId="7" applyFont="1" applyFill="1" applyBorder="1" applyAlignment="1">
      <alignment horizontal="center" vertical="center"/>
    </xf>
    <xf numFmtId="0" fontId="12" fillId="0" borderId="99" xfId="7" applyFont="1" applyFill="1" applyBorder="1" applyAlignment="1">
      <alignment vertical="center"/>
    </xf>
    <xf numFmtId="3" fontId="12" fillId="0" borderId="99" xfId="7" applyNumberFormat="1" applyFont="1" applyFill="1" applyBorder="1" applyAlignment="1">
      <alignment vertical="center"/>
    </xf>
    <xf numFmtId="0" fontId="12" fillId="0" borderId="101" xfId="7" applyFont="1" applyFill="1" applyBorder="1" applyAlignment="1">
      <alignment horizontal="center" vertical="center" wrapText="1"/>
    </xf>
    <xf numFmtId="49" fontId="12" fillId="0" borderId="98" xfId="7" applyNumberFormat="1" applyFont="1" applyFill="1" applyBorder="1" applyAlignment="1">
      <alignment horizontal="center" vertical="center"/>
    </xf>
    <xf numFmtId="3" fontId="12" fillId="0" borderId="98" xfId="7" applyNumberFormat="1" applyFont="1" applyFill="1" applyBorder="1" applyAlignment="1">
      <alignment horizontal="center" vertical="center"/>
    </xf>
    <xf numFmtId="0" fontId="12" fillId="0" borderId="98" xfId="7" quotePrefix="1" applyFont="1" applyFill="1" applyBorder="1" applyAlignment="1">
      <alignment vertical="center"/>
    </xf>
    <xf numFmtId="3" fontId="78" fillId="22" borderId="0" xfId="0" applyNumberFormat="1" applyFont="1" applyFill="1" applyProtection="1">
      <protection hidden="1"/>
    </xf>
    <xf numFmtId="4" fontId="10" fillId="2" borderId="90" xfId="0" applyNumberFormat="1" applyFont="1" applyFill="1" applyBorder="1" applyAlignment="1" applyProtection="1">
      <alignment horizontal="center"/>
      <protection hidden="1"/>
    </xf>
    <xf numFmtId="4" fontId="10" fillId="2" borderId="0" xfId="0" applyNumberFormat="1" applyFont="1" applyFill="1" applyBorder="1" applyAlignment="1" applyProtection="1">
      <alignment horizontal="center"/>
      <protection hidden="1"/>
    </xf>
    <xf numFmtId="4" fontId="16" fillId="2" borderId="90" xfId="0" applyNumberFormat="1" applyFont="1" applyFill="1" applyBorder="1" applyAlignment="1" applyProtection="1">
      <alignment horizontal="center"/>
      <protection hidden="1"/>
    </xf>
    <xf numFmtId="4" fontId="13" fillId="2" borderId="90" xfId="0" applyNumberFormat="1" applyFont="1" applyFill="1" applyBorder="1" applyAlignment="1" applyProtection="1">
      <alignment horizontal="center"/>
      <protection hidden="1"/>
    </xf>
    <xf numFmtId="4" fontId="19" fillId="2" borderId="90" xfId="0" applyNumberFormat="1" applyFont="1" applyFill="1" applyBorder="1" applyAlignment="1" applyProtection="1">
      <alignment horizontal="center"/>
      <protection hidden="1"/>
    </xf>
    <xf numFmtId="4" fontId="4" fillId="2" borderId="90" xfId="0" applyNumberFormat="1" applyFont="1" applyFill="1" applyBorder="1" applyAlignment="1" applyProtection="1">
      <alignment horizontal="center"/>
      <protection hidden="1"/>
    </xf>
    <xf numFmtId="4" fontId="4" fillId="2" borderId="90" xfId="0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49" fontId="12" fillId="0" borderId="18" xfId="0" applyNumberFormat="1" applyFont="1" applyFill="1" applyBorder="1" applyAlignment="1" applyProtection="1">
      <alignment horizontal="left" vertical="center" indent="2"/>
      <protection hidden="1"/>
    </xf>
    <xf numFmtId="0" fontId="11" fillId="0" borderId="43" xfId="0" applyFont="1" applyFill="1" applyBorder="1" applyAlignment="1" applyProtection="1">
      <alignment horizontal="left" wrapText="1"/>
      <protection hidden="1"/>
    </xf>
    <xf numFmtId="0" fontId="60" fillId="17" borderId="47" xfId="0" applyFont="1" applyFill="1" applyBorder="1" applyAlignment="1" applyProtection="1">
      <alignment horizontal="center" vertical="center" wrapText="1"/>
      <protection locked="0"/>
    </xf>
    <xf numFmtId="49" fontId="60" fillId="29" borderId="47" xfId="0" applyNumberFormat="1" applyFont="1" applyFill="1" applyBorder="1" applyAlignment="1" applyProtection="1">
      <alignment horizontal="center" vertical="center" wrapText="1"/>
      <protection locked="0"/>
    </xf>
    <xf numFmtId="49" fontId="59" fillId="30" borderId="18" xfId="0" applyNumberFormat="1" applyFont="1" applyFill="1" applyBorder="1" applyAlignment="1" applyProtection="1">
      <alignment horizontal="left"/>
      <protection locked="0"/>
    </xf>
    <xf numFmtId="0" fontId="67" fillId="30" borderId="26" xfId="0" applyFont="1" applyFill="1" applyBorder="1" applyAlignment="1">
      <alignment horizontal="left" indent="1"/>
    </xf>
    <xf numFmtId="2" fontId="67" fillId="30" borderId="0" xfId="0" applyNumberFormat="1" applyFont="1" applyFill="1" applyProtection="1">
      <protection locked="0"/>
    </xf>
    <xf numFmtId="2" fontId="67" fillId="30" borderId="0" xfId="0" applyNumberFormat="1" applyFont="1" applyFill="1"/>
    <xf numFmtId="0" fontId="59" fillId="30" borderId="0" xfId="0" applyFont="1" applyFill="1" applyProtection="1">
      <protection locked="0"/>
    </xf>
    <xf numFmtId="0" fontId="59" fillId="30" borderId="0" xfId="0" applyFont="1" applyFill="1"/>
    <xf numFmtId="0" fontId="59" fillId="30" borderId="32" xfId="0" applyFont="1" applyFill="1" applyBorder="1" applyProtection="1">
      <protection locked="0"/>
    </xf>
    <xf numFmtId="49" fontId="67" fillId="30" borderId="26" xfId="0" applyNumberFormat="1" applyFont="1" applyFill="1" applyBorder="1" applyAlignment="1">
      <alignment horizontal="left" indent="1"/>
    </xf>
    <xf numFmtId="0" fontId="60" fillId="17" borderId="48" xfId="0" applyFont="1" applyFill="1" applyBorder="1" applyAlignment="1" applyProtection="1">
      <alignment horizontal="center" vertical="center" wrapText="1"/>
      <protection locked="0"/>
    </xf>
    <xf numFmtId="0" fontId="60" fillId="17" borderId="102" xfId="0" applyFont="1" applyFill="1" applyBorder="1" applyAlignment="1" applyProtection="1">
      <alignment horizontal="center" vertical="center" wrapText="1"/>
      <protection locked="0"/>
    </xf>
    <xf numFmtId="49" fontId="62" fillId="2" borderId="102" xfId="0" applyNumberFormat="1" applyFont="1" applyFill="1" applyBorder="1" applyAlignment="1" applyProtection="1">
      <alignment horizontal="center" vertical="center" wrapText="1"/>
      <protection locked="0"/>
    </xf>
    <xf numFmtId="49" fontId="62" fillId="2" borderId="90" xfId="0" applyNumberFormat="1" applyFont="1" applyFill="1" applyBorder="1" applyAlignment="1" applyProtection="1">
      <alignment horizontal="center" vertical="center" wrapText="1"/>
      <protection locked="0"/>
    </xf>
    <xf numFmtId="3" fontId="60" fillId="18" borderId="103" xfId="0" applyNumberFormat="1" applyFont="1" applyFill="1" applyBorder="1" applyAlignment="1" applyProtection="1"/>
    <xf numFmtId="3" fontId="60" fillId="18" borderId="90" xfId="0" applyNumberFormat="1" applyFont="1" applyFill="1" applyBorder="1" applyAlignment="1" applyProtection="1"/>
    <xf numFmtId="3" fontId="60" fillId="18" borderId="104" xfId="0" applyNumberFormat="1" applyFont="1" applyFill="1" applyBorder="1" applyAlignment="1" applyProtection="1"/>
    <xf numFmtId="0" fontId="69" fillId="2" borderId="105" xfId="0" applyFont="1" applyFill="1" applyBorder="1" applyAlignment="1" applyProtection="1">
      <alignment horizontal="left" wrapText="1"/>
      <protection locked="0"/>
    </xf>
    <xf numFmtId="3" fontId="59" fillId="3" borderId="28" xfId="0" applyNumberFormat="1" applyFont="1" applyFill="1" applyBorder="1" applyAlignment="1" applyProtection="1">
      <alignment vertical="center"/>
    </xf>
    <xf numFmtId="3" fontId="59" fillId="2" borderId="28" xfId="0" applyNumberFormat="1" applyFont="1" applyFill="1" applyBorder="1" applyAlignment="1" applyProtection="1">
      <alignment vertical="center"/>
    </xf>
    <xf numFmtId="3" fontId="59" fillId="3" borderId="28" xfId="0" applyNumberFormat="1" applyFont="1" applyFill="1" applyBorder="1" applyAlignment="1" applyProtection="1"/>
    <xf numFmtId="3" fontId="59" fillId="2" borderId="28" xfId="0" applyNumberFormat="1" applyFont="1" applyFill="1" applyBorder="1" applyAlignment="1" applyProtection="1"/>
    <xf numFmtId="49" fontId="67" fillId="2" borderId="28" xfId="0" applyNumberFormat="1" applyFont="1" applyFill="1" applyBorder="1" applyAlignment="1" applyProtection="1">
      <alignment horizontal="left" vertical="center" indent="2"/>
      <protection locked="0"/>
    </xf>
    <xf numFmtId="0" fontId="66" fillId="2" borderId="106" xfId="0" applyFont="1" applyFill="1" applyBorder="1" applyAlignment="1" applyProtection="1">
      <alignment horizontal="left" wrapText="1"/>
      <protection locked="0"/>
    </xf>
    <xf numFmtId="49" fontId="57" fillId="2" borderId="90" xfId="0" applyNumberFormat="1" applyFont="1" applyFill="1" applyBorder="1" applyAlignment="1" applyProtection="1">
      <alignment horizontal="center"/>
      <protection locked="0"/>
    </xf>
    <xf numFmtId="49" fontId="59" fillId="2" borderId="90" xfId="0" applyNumberFormat="1" applyFont="1" applyFill="1" applyBorder="1" applyProtection="1">
      <protection locked="0"/>
    </xf>
    <xf numFmtId="3" fontId="60" fillId="17" borderId="107" xfId="0" applyNumberFormat="1" applyFont="1" applyFill="1" applyBorder="1" applyAlignment="1" applyProtection="1"/>
    <xf numFmtId="49" fontId="67" fillId="2" borderId="90" xfId="0" applyNumberFormat="1" applyFont="1" applyFill="1" applyBorder="1" applyAlignment="1" applyProtection="1">
      <alignment horizontal="center"/>
      <protection locked="0"/>
    </xf>
    <xf numFmtId="49" fontId="67" fillId="2" borderId="90" xfId="0" applyNumberFormat="1" applyFont="1" applyFill="1" applyBorder="1" applyAlignment="1">
      <alignment horizontal="center"/>
    </xf>
    <xf numFmtId="49" fontId="69" fillId="19" borderId="90" xfId="0" applyNumberFormat="1" applyFont="1" applyFill="1" applyBorder="1" applyAlignment="1">
      <alignment horizontal="center"/>
    </xf>
    <xf numFmtId="49" fontId="66" fillId="2" borderId="104" xfId="0" applyNumberFormat="1" applyFont="1" applyFill="1" applyBorder="1" applyAlignment="1" applyProtection="1">
      <alignment horizontal="center"/>
      <protection locked="0"/>
    </xf>
    <xf numFmtId="3" fontId="60" fillId="17" borderId="104" xfId="0" applyNumberFormat="1" applyFont="1" applyFill="1" applyBorder="1" applyAlignment="1" applyProtection="1">
      <alignment horizontal="right"/>
    </xf>
    <xf numFmtId="49" fontId="61" fillId="2" borderId="90" xfId="0" applyNumberFormat="1" applyFont="1" applyFill="1" applyBorder="1" applyAlignment="1" applyProtection="1">
      <alignment horizontal="center"/>
      <protection locked="0"/>
    </xf>
    <xf numFmtId="3" fontId="69" fillId="19" borderId="28" xfId="0" applyNumberFormat="1" applyFont="1" applyFill="1" applyBorder="1" applyAlignment="1" applyProtection="1"/>
    <xf numFmtId="4" fontId="59" fillId="2" borderId="90" xfId="0" applyNumberFormat="1" applyFont="1" applyFill="1" applyBorder="1" applyAlignment="1">
      <alignment horizontal="center"/>
    </xf>
    <xf numFmtId="4" fontId="34" fillId="0" borderId="108" xfId="8" applyNumberFormat="1" applyFont="1" applyFill="1" applyBorder="1" applyAlignment="1" applyProtection="1">
      <alignment vertical="center"/>
      <protection locked="0"/>
    </xf>
    <xf numFmtId="4" fontId="34" fillId="0" borderId="108" xfId="8" applyNumberFormat="1" applyFont="1" applyFill="1" applyBorder="1" applyAlignment="1" applyProtection="1">
      <alignment horizontal="right" vertical="center"/>
      <protection locked="0"/>
    </xf>
    <xf numFmtId="4" fontId="59" fillId="2" borderId="90" xfId="0" applyNumberFormat="1" applyFont="1" applyFill="1" applyBorder="1" applyAlignment="1" applyProtection="1">
      <alignment horizontal="center"/>
      <protection locked="0"/>
    </xf>
    <xf numFmtId="4" fontId="3" fillId="0" borderId="108" xfId="8" applyNumberFormat="1" applyFont="1" applyFill="1" applyBorder="1" applyAlignment="1" applyProtection="1">
      <alignment horizontal="right" vertical="center"/>
      <protection locked="0"/>
    </xf>
    <xf numFmtId="4" fontId="69" fillId="2" borderId="90" xfId="0" applyNumberFormat="1" applyFont="1" applyFill="1" applyBorder="1" applyAlignment="1" applyProtection="1">
      <alignment horizontal="center" vertical="center"/>
      <protection locked="0"/>
    </xf>
    <xf numFmtId="4" fontId="3" fillId="0" borderId="108" xfId="0" applyNumberFormat="1" applyFont="1" applyFill="1" applyBorder="1" applyAlignment="1" applyProtection="1">
      <alignment horizontal="right" vertical="center"/>
      <protection locked="0"/>
    </xf>
    <xf numFmtId="4" fontId="60" fillId="2" borderId="90" xfId="0" applyNumberFormat="1" applyFont="1" applyFill="1" applyBorder="1" applyAlignment="1" applyProtection="1">
      <alignment horizontal="center"/>
      <protection locked="0"/>
    </xf>
    <xf numFmtId="49" fontId="60" fillId="2" borderId="90" xfId="0" applyNumberFormat="1" applyFont="1" applyFill="1" applyBorder="1" applyAlignment="1" applyProtection="1">
      <alignment horizontal="center"/>
      <protection locked="0"/>
    </xf>
    <xf numFmtId="4" fontId="34" fillId="0" borderId="108" xfId="0" applyNumberFormat="1" applyFont="1" applyFill="1" applyBorder="1" applyAlignment="1" applyProtection="1">
      <alignment horizontal="right" vertical="center"/>
      <protection locked="0"/>
    </xf>
    <xf numFmtId="4" fontId="34" fillId="0" borderId="108" xfId="0" applyNumberFormat="1" applyFont="1" applyBorder="1" applyAlignment="1" applyProtection="1">
      <alignment horizontal="right" vertical="center"/>
      <protection locked="0"/>
    </xf>
    <xf numFmtId="4" fontId="34" fillId="0" borderId="109" xfId="0" applyNumberFormat="1" applyFont="1" applyFill="1" applyBorder="1" applyAlignment="1" applyProtection="1">
      <alignment vertical="center"/>
      <protection locked="0"/>
    </xf>
    <xf numFmtId="49" fontId="66" fillId="2" borderId="90" xfId="0" applyNumberFormat="1" applyFont="1" applyFill="1" applyBorder="1" applyAlignment="1" applyProtection="1">
      <alignment horizontal="center"/>
      <protection locked="0"/>
    </xf>
    <xf numFmtId="3" fontId="69" fillId="19" borderId="28" xfId="0" applyNumberFormat="1" applyFont="1" applyFill="1" applyBorder="1" applyAlignment="1" applyProtection="1">
      <alignment horizontal="right"/>
    </xf>
    <xf numFmtId="3" fontId="67" fillId="19" borderId="28" xfId="0" applyNumberFormat="1" applyFont="1" applyFill="1" applyBorder="1" applyAlignment="1" applyProtection="1"/>
    <xf numFmtId="3" fontId="69" fillId="6" borderId="28" xfId="0" applyNumberFormat="1" applyFont="1" applyFill="1" applyBorder="1" applyAlignment="1" applyProtection="1"/>
    <xf numFmtId="3" fontId="69" fillId="2" borderId="90" xfId="0" applyNumberFormat="1" applyFont="1" applyFill="1" applyBorder="1" applyAlignment="1" applyProtection="1">
      <alignment horizontal="right"/>
      <protection locked="0"/>
    </xf>
    <xf numFmtId="3" fontId="67" fillId="6" borderId="28" xfId="0" applyNumberFormat="1" applyFont="1" applyFill="1" applyBorder="1" applyAlignment="1" applyProtection="1"/>
    <xf numFmtId="3" fontId="67" fillId="22" borderId="90" xfId="0" applyNumberFormat="1" applyFont="1" applyFill="1" applyBorder="1" applyAlignment="1" applyProtection="1"/>
    <xf numFmtId="3" fontId="67" fillId="2" borderId="90" xfId="0" applyNumberFormat="1" applyFont="1" applyFill="1" applyBorder="1" applyAlignment="1" applyProtection="1">
      <alignment horizontal="right"/>
      <protection locked="0"/>
    </xf>
    <xf numFmtId="3" fontId="67" fillId="2" borderId="28" xfId="0" applyNumberFormat="1" applyFont="1" applyFill="1" applyBorder="1" applyAlignment="1" applyProtection="1"/>
    <xf numFmtId="3" fontId="67" fillId="6" borderId="28" xfId="0" applyNumberFormat="1" applyFont="1" applyFill="1" applyBorder="1" applyAlignment="1" applyProtection="1">
      <alignment horizontal="right"/>
    </xf>
    <xf numFmtId="3" fontId="69" fillId="6" borderId="40" xfId="0" applyNumberFormat="1" applyFont="1" applyFill="1" applyBorder="1" applyAlignment="1" applyProtection="1"/>
    <xf numFmtId="3" fontId="63" fillId="6" borderId="41" xfId="0" applyNumberFormat="1" applyFont="1" applyFill="1" applyBorder="1" applyAlignment="1" applyProtection="1"/>
    <xf numFmtId="3" fontId="67" fillId="2" borderId="40" xfId="0" applyNumberFormat="1" applyFont="1" applyFill="1" applyBorder="1" applyAlignment="1" applyProtection="1">
      <alignment horizontal="right" indent="1"/>
    </xf>
    <xf numFmtId="3" fontId="67" fillId="6" borderId="28" xfId="0" applyNumberFormat="1" applyFont="1" applyFill="1" applyBorder="1" applyAlignment="1" applyProtection="1">
      <alignment horizontal="right" indent="1"/>
    </xf>
    <xf numFmtId="3" fontId="67" fillId="2" borderId="90" xfId="0" applyNumberFormat="1" applyFont="1" applyFill="1" applyBorder="1" applyAlignment="1" applyProtection="1">
      <alignment horizontal="right" indent="1"/>
    </xf>
    <xf numFmtId="3" fontId="67" fillId="2" borderId="90" xfId="0" applyNumberFormat="1" applyFont="1" applyFill="1" applyBorder="1" applyAlignment="1" applyProtection="1">
      <protection locked="0"/>
    </xf>
    <xf numFmtId="3" fontId="67" fillId="2" borderId="90" xfId="0" applyNumberFormat="1" applyFont="1" applyFill="1" applyBorder="1" applyAlignment="1" applyProtection="1">
      <alignment horizontal="right"/>
    </xf>
    <xf numFmtId="3" fontId="67" fillId="2" borderId="40" xfId="0" applyNumberFormat="1" applyFont="1" applyFill="1" applyBorder="1" applyAlignment="1" applyProtection="1"/>
    <xf numFmtId="3" fontId="67" fillId="2" borderId="41" xfId="0" applyNumberFormat="1" applyFont="1" applyFill="1" applyBorder="1" applyAlignment="1" applyProtection="1">
      <protection locked="0"/>
    </xf>
    <xf numFmtId="3" fontId="59" fillId="6" borderId="28" xfId="0" applyNumberFormat="1" applyFont="1" applyFill="1" applyBorder="1" applyAlignment="1" applyProtection="1"/>
    <xf numFmtId="3" fontId="59" fillId="2" borderId="90" xfId="0" applyNumberFormat="1" applyFont="1" applyFill="1" applyBorder="1" applyAlignment="1" applyProtection="1"/>
    <xf numFmtId="3" fontId="63" fillId="22" borderId="90" xfId="0" applyNumberFormat="1" applyFont="1" applyFill="1" applyBorder="1" applyAlignment="1" applyProtection="1">
      <alignment horizontal="right"/>
    </xf>
    <xf numFmtId="3" fontId="63" fillId="22" borderId="90" xfId="0" applyNumberFormat="1" applyFont="1" applyFill="1" applyBorder="1" applyAlignment="1" applyProtection="1">
      <alignment horizontal="right"/>
      <protection locked="0"/>
    </xf>
    <xf numFmtId="3" fontId="69" fillId="6" borderId="90" xfId="0" applyNumberFormat="1" applyFont="1" applyFill="1" applyBorder="1" applyAlignment="1" applyProtection="1"/>
    <xf numFmtId="3" fontId="59" fillId="2" borderId="90" xfId="0" applyNumberFormat="1" applyFont="1" applyFill="1" applyBorder="1" applyAlignment="1" applyProtection="1">
      <protection locked="0"/>
    </xf>
    <xf numFmtId="3" fontId="59" fillId="2" borderId="102" xfId="0" applyNumberFormat="1" applyFont="1" applyFill="1" applyBorder="1" applyAlignment="1" applyProtection="1"/>
    <xf numFmtId="0" fontId="60" fillId="4" borderId="48" xfId="0" applyFont="1" applyFill="1" applyBorder="1" applyAlignment="1" applyProtection="1">
      <alignment horizontal="center" vertical="center" wrapText="1"/>
      <protection locked="0"/>
    </xf>
    <xf numFmtId="0" fontId="60" fillId="4" borderId="47" xfId="0" applyFont="1" applyFill="1" applyBorder="1" applyAlignment="1" applyProtection="1">
      <alignment horizontal="center" vertical="center" wrapText="1"/>
      <protection locked="0"/>
    </xf>
    <xf numFmtId="0" fontId="69" fillId="2" borderId="90" xfId="0" applyFont="1" applyFill="1" applyBorder="1" applyAlignment="1" applyProtection="1">
      <alignment horizontal="left" wrapText="1"/>
      <protection locked="0"/>
    </xf>
    <xf numFmtId="49" fontId="67" fillId="2" borderId="90" xfId="0" applyNumberFormat="1" applyFont="1" applyFill="1" applyBorder="1" applyAlignment="1" applyProtection="1">
      <alignment horizontal="left"/>
      <protection locked="0"/>
    </xf>
    <xf numFmtId="49" fontId="67" fillId="2" borderId="102" xfId="0" applyNumberFormat="1" applyFont="1" applyFill="1" applyBorder="1" applyAlignment="1" applyProtection="1">
      <alignment horizontal="left"/>
      <protection locked="0"/>
    </xf>
    <xf numFmtId="168" fontId="10" fillId="7" borderId="24" xfId="0" applyNumberFormat="1" applyFont="1" applyFill="1" applyBorder="1" applyAlignment="1" applyProtection="1">
      <protection hidden="1"/>
    </xf>
    <xf numFmtId="168" fontId="10" fillId="7" borderId="26" xfId="0" applyNumberFormat="1" applyFont="1" applyFill="1" applyBorder="1" applyAlignment="1" applyProtection="1">
      <protection hidden="1"/>
    </xf>
    <xf numFmtId="168" fontId="10" fillId="7" borderId="30" xfId="0" applyNumberFormat="1" applyFont="1" applyFill="1" applyBorder="1" applyAlignment="1" applyProtection="1">
      <protection hidden="1"/>
    </xf>
    <xf numFmtId="168" fontId="10" fillId="0" borderId="18" xfId="0" applyNumberFormat="1" applyFont="1" applyBorder="1" applyAlignment="1" applyProtection="1">
      <alignment horizontal="center"/>
      <protection hidden="1"/>
    </xf>
    <xf numFmtId="168" fontId="12" fillId="0" borderId="18" xfId="0" applyNumberFormat="1" applyFont="1" applyFill="1" applyBorder="1" applyAlignment="1" applyProtection="1">
      <alignment horizontal="right" vertical="center"/>
      <protection hidden="1"/>
    </xf>
    <xf numFmtId="168" fontId="12" fillId="0" borderId="18" xfId="0" applyNumberFormat="1" applyFont="1" applyFill="1" applyBorder="1" applyAlignment="1" applyProtection="1">
      <alignment horizontal="right"/>
      <protection hidden="1"/>
    </xf>
    <xf numFmtId="168" fontId="10" fillId="0" borderId="18" xfId="0" applyNumberFormat="1" applyFont="1" applyFill="1" applyBorder="1" applyAlignment="1" applyProtection="1">
      <protection hidden="1"/>
    </xf>
    <xf numFmtId="168" fontId="11" fillId="0" borderId="43" xfId="0" applyNumberFormat="1" applyFont="1" applyFill="1" applyBorder="1" applyAlignment="1" applyProtection="1">
      <alignment horizontal="right"/>
      <protection hidden="1"/>
    </xf>
    <xf numFmtId="168" fontId="12" fillId="2" borderId="18" xfId="0" applyNumberFormat="1" applyFont="1" applyFill="1" applyBorder="1" applyAlignment="1" applyProtection="1">
      <alignment horizontal="right"/>
      <protection hidden="1"/>
    </xf>
    <xf numFmtId="168" fontId="12" fillId="22" borderId="18" xfId="0" applyNumberFormat="1" applyFont="1" applyFill="1" applyBorder="1" applyAlignment="1" applyProtection="1">
      <alignment horizontal="right"/>
      <protection hidden="1"/>
    </xf>
    <xf numFmtId="168" fontId="11" fillId="0" borderId="29" xfId="0" applyNumberFormat="1" applyFont="1" applyBorder="1" applyAlignment="1" applyProtection="1">
      <alignment horizontal="right"/>
      <protection hidden="1"/>
    </xf>
    <xf numFmtId="168" fontId="11" fillId="26" borderId="29" xfId="0" applyNumberFormat="1" applyFont="1" applyFill="1" applyBorder="1" applyAlignment="1" applyProtection="1">
      <alignment horizontal="right"/>
      <protection hidden="1"/>
    </xf>
    <xf numFmtId="168" fontId="11" fillId="0" borderId="18" xfId="0" applyNumberFormat="1" applyFont="1" applyFill="1" applyBorder="1" applyAlignment="1" applyProtection="1">
      <alignment horizontal="center"/>
      <protection hidden="1"/>
    </xf>
    <xf numFmtId="168" fontId="11" fillId="0" borderId="26" xfId="0" applyNumberFormat="1" applyFont="1" applyFill="1" applyBorder="1" applyAlignment="1" applyProtection="1">
      <alignment horizontal="center"/>
      <protection hidden="1"/>
    </xf>
    <xf numFmtId="168" fontId="12" fillId="2" borderId="18" xfId="0" applyNumberFormat="1" applyFont="1" applyFill="1" applyBorder="1" applyAlignment="1" applyProtection="1">
      <alignment horizontal="right" vertical="center"/>
      <protection hidden="1"/>
    </xf>
    <xf numFmtId="168" fontId="10" fillId="0" borderId="18" xfId="0" applyNumberFormat="1" applyFont="1" applyFill="1" applyBorder="1" applyAlignment="1" applyProtection="1">
      <alignment horizontal="right" vertical="center"/>
      <protection hidden="1"/>
    </xf>
    <xf numFmtId="168" fontId="11" fillId="0" borderId="18" xfId="0" applyNumberFormat="1" applyFont="1" applyBorder="1" applyAlignment="1" applyProtection="1">
      <alignment horizontal="right"/>
      <protection hidden="1"/>
    </xf>
    <xf numFmtId="168" fontId="10" fillId="0" borderId="18" xfId="0" applyNumberFormat="1" applyFont="1" applyBorder="1" applyAlignment="1" applyProtection="1">
      <protection hidden="1"/>
    </xf>
    <xf numFmtId="168" fontId="10" fillId="0" borderId="26" xfId="0" applyNumberFormat="1" applyFont="1" applyBorder="1" applyAlignment="1" applyProtection="1">
      <protection hidden="1"/>
    </xf>
    <xf numFmtId="168" fontId="15" fillId="0" borderId="26" xfId="0" applyNumberFormat="1" applyFont="1" applyBorder="1" applyAlignment="1" applyProtection="1">
      <protection hidden="1"/>
    </xf>
    <xf numFmtId="168" fontId="13" fillId="22" borderId="18" xfId="0" applyNumberFormat="1" applyFont="1" applyFill="1" applyBorder="1" applyAlignment="1" applyProtection="1">
      <alignment horizontal="right"/>
      <protection hidden="1"/>
    </xf>
    <xf numFmtId="168" fontId="10" fillId="2" borderId="18" xfId="0" applyNumberFormat="1" applyFont="1" applyFill="1" applyBorder="1" applyAlignment="1" applyProtection="1">
      <alignment vertical="center"/>
      <protection hidden="1"/>
    </xf>
    <xf numFmtId="49" fontId="67" fillId="2" borderId="26" xfId="0" quotePrefix="1" applyNumberFormat="1" applyFont="1" applyFill="1" applyBorder="1" applyAlignment="1">
      <alignment horizontal="left" indent="5"/>
    </xf>
    <xf numFmtId="49" fontId="67" fillId="0" borderId="110" xfId="8" quotePrefix="1" applyNumberFormat="1" applyFont="1" applyBorder="1" applyAlignment="1" applyProtection="1">
      <alignment horizontal="left" vertical="center" indent="5"/>
    </xf>
    <xf numFmtId="168" fontId="10" fillId="2" borderId="43" xfId="0" applyNumberFormat="1" applyFont="1" applyFill="1" applyBorder="1" applyProtection="1">
      <protection hidden="1"/>
    </xf>
    <xf numFmtId="0" fontId="72" fillId="0" borderId="0" xfId="0" applyFont="1" applyBorder="1" applyAlignment="1" applyProtection="1">
      <alignment vertical="top" wrapText="1"/>
      <protection hidden="1"/>
    </xf>
    <xf numFmtId="0" fontId="72" fillId="0" borderId="0" xfId="0" applyFont="1" applyBorder="1" applyAlignment="1" applyProtection="1">
      <alignment vertical="top" wrapText="1"/>
      <protection locked="0"/>
    </xf>
    <xf numFmtId="0" fontId="73" fillId="0" borderId="0" xfId="0" applyFont="1" applyBorder="1" applyAlignment="1" applyProtection="1">
      <alignment vertical="top" wrapText="1"/>
      <protection locked="0"/>
    </xf>
    <xf numFmtId="168" fontId="10" fillId="8" borderId="0" xfId="0" applyNumberFormat="1" applyFont="1" applyFill="1" applyBorder="1" applyProtection="1">
      <protection hidden="1"/>
    </xf>
    <xf numFmtId="168" fontId="10" fillId="2" borderId="0" xfId="0" applyNumberFormat="1" applyFont="1" applyFill="1" applyBorder="1" applyProtection="1">
      <protection hidden="1"/>
    </xf>
    <xf numFmtId="3" fontId="10" fillId="31" borderId="23" xfId="0" applyNumberFormat="1" applyFont="1" applyFill="1" applyBorder="1" applyAlignment="1" applyProtection="1">
      <protection hidden="1"/>
    </xf>
    <xf numFmtId="168" fontId="10" fillId="31" borderId="23" xfId="0" applyNumberFormat="1" applyFont="1" applyFill="1" applyBorder="1" applyAlignment="1" applyProtection="1">
      <protection hidden="1"/>
    </xf>
    <xf numFmtId="168" fontId="10" fillId="31" borderId="24" xfId="0" applyNumberFormat="1" applyFont="1" applyFill="1" applyBorder="1" applyAlignment="1" applyProtection="1">
      <protection hidden="1"/>
    </xf>
    <xf numFmtId="3" fontId="10" fillId="31" borderId="29" xfId="0" applyNumberFormat="1" applyFont="1" applyFill="1" applyBorder="1" applyAlignment="1" applyProtection="1">
      <protection hidden="1"/>
    </xf>
    <xf numFmtId="168" fontId="10" fillId="31" borderId="29" xfId="0" applyNumberFormat="1" applyFont="1" applyFill="1" applyBorder="1" applyAlignment="1" applyProtection="1">
      <protection hidden="1"/>
    </xf>
    <xf numFmtId="168" fontId="10" fillId="31" borderId="30" xfId="0" applyNumberFormat="1" applyFont="1" applyFill="1" applyBorder="1" applyAlignment="1" applyProtection="1">
      <protection hidden="1"/>
    </xf>
    <xf numFmtId="3" fontId="10" fillId="31" borderId="29" xfId="0" applyNumberFormat="1" applyFont="1" applyFill="1" applyBorder="1" applyAlignment="1" applyProtection="1">
      <alignment horizontal="right"/>
      <protection hidden="1"/>
    </xf>
    <xf numFmtId="168" fontId="10" fillId="31" borderId="29" xfId="0" applyNumberFormat="1" applyFont="1" applyFill="1" applyBorder="1" applyAlignment="1" applyProtection="1">
      <alignment horizontal="right"/>
      <protection hidden="1"/>
    </xf>
    <xf numFmtId="3" fontId="10" fillId="31" borderId="24" xfId="0" applyNumberFormat="1" applyFont="1" applyFill="1" applyBorder="1" applyAlignment="1" applyProtection="1">
      <protection hidden="1"/>
    </xf>
    <xf numFmtId="0" fontId="12" fillId="32" borderId="100" xfId="7" applyFont="1" applyFill="1" applyBorder="1" applyAlignment="1">
      <alignment horizontal="center" vertical="center"/>
    </xf>
    <xf numFmtId="0" fontId="12" fillId="32" borderId="100" xfId="7" applyFont="1" applyFill="1" applyBorder="1" applyAlignment="1">
      <alignment vertical="center"/>
    </xf>
    <xf numFmtId="3" fontId="12" fillId="32" borderId="100" xfId="7" applyNumberFormat="1" applyFont="1" applyFill="1" applyBorder="1" applyAlignment="1">
      <alignment horizontal="center" vertical="center"/>
    </xf>
    <xf numFmtId="168" fontId="12" fillId="32" borderId="100" xfId="7" applyNumberFormat="1" applyFont="1" applyFill="1" applyBorder="1" applyAlignment="1">
      <alignment vertical="center"/>
    </xf>
    <xf numFmtId="168" fontId="12" fillId="0" borderId="98" xfId="7" applyNumberFormat="1" applyFont="1" applyFill="1" applyBorder="1" applyAlignment="1">
      <alignment vertical="center"/>
    </xf>
    <xf numFmtId="168" fontId="12" fillId="0" borderId="0" xfId="0" applyNumberFormat="1" applyFont="1" applyProtection="1">
      <protection hidden="1"/>
    </xf>
    <xf numFmtId="3" fontId="12" fillId="0" borderId="111" xfId="7" applyNumberFormat="1" applyFont="1" applyFill="1" applyBorder="1" applyAlignment="1">
      <alignment vertical="center" wrapText="1"/>
    </xf>
    <xf numFmtId="3" fontId="12" fillId="0" borderId="112" xfId="7" applyNumberFormat="1" applyFont="1" applyFill="1" applyBorder="1" applyAlignment="1">
      <alignment vertical="center" wrapText="1"/>
    </xf>
    <xf numFmtId="3" fontId="12" fillId="0" borderId="113" xfId="7" applyNumberFormat="1" applyFont="1" applyFill="1" applyBorder="1" applyAlignment="1">
      <alignment vertical="center" wrapText="1"/>
    </xf>
    <xf numFmtId="4" fontId="10" fillId="23" borderId="90" xfId="0" applyNumberFormat="1" applyFont="1" applyFill="1" applyBorder="1" applyAlignment="1" applyProtection="1">
      <alignment horizontal="center"/>
      <protection hidden="1"/>
    </xf>
    <xf numFmtId="4" fontId="9" fillId="22" borderId="90" xfId="0" applyNumberFormat="1" applyFont="1" applyFill="1" applyBorder="1" applyAlignment="1" applyProtection="1">
      <alignment horizontal="center"/>
      <protection hidden="1"/>
    </xf>
    <xf numFmtId="4" fontId="10" fillId="22" borderId="90" xfId="0" applyNumberFormat="1" applyFont="1" applyFill="1" applyBorder="1" applyAlignment="1" applyProtection="1">
      <alignment horizontal="center"/>
      <protection hidden="1"/>
    </xf>
    <xf numFmtId="4" fontId="10" fillId="22" borderId="0" xfId="0" applyNumberFormat="1" applyFont="1" applyFill="1" applyBorder="1" applyAlignment="1" applyProtection="1">
      <alignment horizontal="center"/>
      <protection hidden="1"/>
    </xf>
    <xf numFmtId="4" fontId="10" fillId="33" borderId="90" xfId="0" applyNumberFormat="1" applyFont="1" applyFill="1" applyBorder="1" applyAlignment="1" applyProtection="1">
      <alignment horizontal="center"/>
      <protection hidden="1"/>
    </xf>
    <xf numFmtId="4" fontId="72" fillId="22" borderId="0" xfId="0" applyNumberFormat="1" applyFont="1" applyFill="1" applyBorder="1" applyAlignment="1" applyProtection="1">
      <alignment horizontal="center"/>
      <protection hidden="1"/>
    </xf>
    <xf numFmtId="0" fontId="72" fillId="22" borderId="0" xfId="0" applyFont="1" applyFill="1" applyBorder="1" applyProtection="1">
      <protection hidden="1"/>
    </xf>
    <xf numFmtId="4" fontId="79" fillId="22" borderId="0" xfId="0" applyNumberFormat="1" applyFont="1" applyFill="1" applyBorder="1" applyAlignment="1" applyProtection="1">
      <alignment horizontal="center"/>
      <protection hidden="1"/>
    </xf>
    <xf numFmtId="0" fontId="79" fillId="22" borderId="0" xfId="0" applyFont="1" applyFill="1" applyBorder="1" applyProtection="1">
      <protection hidden="1"/>
    </xf>
    <xf numFmtId="4" fontId="79" fillId="22" borderId="90" xfId="0" applyNumberFormat="1" applyFont="1" applyFill="1" applyBorder="1" applyAlignment="1" applyProtection="1">
      <alignment horizontal="center"/>
      <protection hidden="1"/>
    </xf>
    <xf numFmtId="0" fontId="79" fillId="22" borderId="0" xfId="0" applyFont="1" applyFill="1" applyBorder="1" applyAlignment="1" applyProtection="1">
      <alignment horizontal="center"/>
      <protection hidden="1"/>
    </xf>
    <xf numFmtId="4" fontId="80" fillId="22" borderId="90" xfId="0" applyNumberFormat="1" applyFont="1" applyFill="1" applyBorder="1" applyAlignment="1" applyProtection="1">
      <alignment horizontal="center"/>
      <protection hidden="1"/>
    </xf>
    <xf numFmtId="0" fontId="80" fillId="22" borderId="0" xfId="0" applyFont="1" applyFill="1" applyBorder="1" applyAlignment="1" applyProtection="1">
      <alignment horizontal="center"/>
      <protection hidden="1"/>
    </xf>
    <xf numFmtId="4" fontId="79" fillId="23" borderId="90" xfId="0" applyNumberFormat="1" applyFont="1" applyFill="1" applyBorder="1" applyAlignment="1" applyProtection="1">
      <alignment horizontal="center"/>
      <protection hidden="1"/>
    </xf>
    <xf numFmtId="0" fontId="79" fillId="23" borderId="0" xfId="0" applyFont="1" applyFill="1" applyBorder="1" applyProtection="1">
      <protection hidden="1"/>
    </xf>
    <xf numFmtId="3" fontId="79" fillId="23" borderId="0" xfId="0" applyNumberFormat="1" applyFont="1" applyFill="1" applyBorder="1" applyProtection="1">
      <protection hidden="1"/>
    </xf>
    <xf numFmtId="0" fontId="81" fillId="22" borderId="0" xfId="0" applyFont="1" applyFill="1" applyBorder="1" applyProtection="1">
      <protection hidden="1"/>
    </xf>
    <xf numFmtId="3" fontId="81" fillId="22" borderId="0" xfId="0" applyNumberFormat="1" applyFont="1" applyFill="1" applyBorder="1" applyProtection="1">
      <protection hidden="1"/>
    </xf>
    <xf numFmtId="4" fontId="79" fillId="26" borderId="90" xfId="0" applyNumberFormat="1" applyFont="1" applyFill="1" applyBorder="1" applyAlignment="1" applyProtection="1">
      <alignment horizontal="center"/>
      <protection hidden="1"/>
    </xf>
    <xf numFmtId="0" fontId="81" fillId="26" borderId="0" xfId="0" applyFont="1" applyFill="1" applyBorder="1" applyProtection="1">
      <protection hidden="1"/>
    </xf>
    <xf numFmtId="3" fontId="81" fillId="26" borderId="0" xfId="0" applyNumberFormat="1" applyFont="1" applyFill="1" applyBorder="1" applyProtection="1">
      <protection hidden="1"/>
    </xf>
    <xf numFmtId="0" fontId="82" fillId="26" borderId="0" xfId="0" applyFont="1" applyFill="1" applyBorder="1" applyProtection="1">
      <protection hidden="1"/>
    </xf>
    <xf numFmtId="0" fontId="80" fillId="26" borderId="0" xfId="0" applyFont="1" applyFill="1" applyBorder="1" applyProtection="1">
      <protection hidden="1"/>
    </xf>
    <xf numFmtId="0" fontId="80" fillId="22" borderId="0" xfId="0" applyFont="1" applyFill="1" applyBorder="1" applyProtection="1">
      <protection hidden="1"/>
    </xf>
    <xf numFmtId="0" fontId="83" fillId="22" borderId="0" xfId="0" applyFont="1" applyFill="1" applyBorder="1" applyProtection="1">
      <protection hidden="1"/>
    </xf>
    <xf numFmtId="3" fontId="79" fillId="22" borderId="0" xfId="0" applyNumberFormat="1" applyFont="1" applyFill="1" applyBorder="1" applyProtection="1">
      <protection hidden="1"/>
    </xf>
    <xf numFmtId="0" fontId="79" fillId="22" borderId="0" xfId="0" applyFont="1" applyFill="1" applyBorder="1" applyAlignment="1" applyProtection="1">
      <alignment vertical="center"/>
      <protection hidden="1"/>
    </xf>
    <xf numFmtId="4" fontId="84" fillId="33" borderId="90" xfId="0" applyNumberFormat="1" applyFont="1" applyFill="1" applyBorder="1" applyAlignment="1" applyProtection="1">
      <alignment horizontal="center"/>
      <protection hidden="1"/>
    </xf>
    <xf numFmtId="0" fontId="84" fillId="33" borderId="0" xfId="0" applyFont="1" applyFill="1" applyBorder="1" applyProtection="1">
      <protection hidden="1"/>
    </xf>
    <xf numFmtId="4" fontId="85" fillId="22" borderId="90" xfId="0" applyNumberFormat="1" applyFont="1" applyFill="1" applyBorder="1" applyAlignment="1" applyProtection="1">
      <alignment horizontal="center"/>
      <protection hidden="1"/>
    </xf>
    <xf numFmtId="0" fontId="85" fillId="22" borderId="0" xfId="0" applyFont="1" applyFill="1" applyBorder="1" applyProtection="1">
      <protection hidden="1"/>
    </xf>
    <xf numFmtId="4" fontId="84" fillId="22" borderId="90" xfId="0" applyNumberFormat="1" applyFont="1" applyFill="1" applyBorder="1" applyAlignment="1" applyProtection="1">
      <alignment horizontal="center"/>
      <protection hidden="1"/>
    </xf>
    <xf numFmtId="0" fontId="84" fillId="22" borderId="0" xfId="0" applyFont="1" applyFill="1" applyBorder="1" applyProtection="1">
      <protection hidden="1"/>
    </xf>
    <xf numFmtId="4" fontId="86" fillId="22" borderId="90" xfId="0" applyNumberFormat="1" applyFont="1" applyFill="1" applyBorder="1" applyAlignment="1" applyProtection="1">
      <alignment horizontal="center"/>
      <protection hidden="1"/>
    </xf>
    <xf numFmtId="0" fontId="86" fillId="22" borderId="0" xfId="0" applyFont="1" applyFill="1" applyBorder="1" applyProtection="1">
      <protection hidden="1"/>
    </xf>
    <xf numFmtId="4" fontId="82" fillId="22" borderId="90" xfId="0" applyNumberFormat="1" applyFont="1" applyFill="1" applyBorder="1" applyAlignment="1" applyProtection="1">
      <alignment horizontal="center"/>
      <protection hidden="1"/>
    </xf>
    <xf numFmtId="0" fontId="82" fillId="22" borderId="0" xfId="0" applyFont="1" applyFill="1" applyBorder="1" applyProtection="1">
      <protection hidden="1"/>
    </xf>
    <xf numFmtId="3" fontId="82" fillId="22" borderId="0" xfId="0" applyNumberFormat="1" applyFont="1" applyFill="1" applyBorder="1" applyProtection="1">
      <protection hidden="1"/>
    </xf>
    <xf numFmtId="0" fontId="31" fillId="0" borderId="97" xfId="7" applyFont="1" applyFill="1" applyBorder="1" applyAlignment="1">
      <alignment horizontal="center"/>
    </xf>
    <xf numFmtId="0" fontId="31" fillId="0" borderId="98" xfId="7" applyFont="1" applyFill="1" applyBorder="1" applyAlignment="1">
      <alignment horizontal="center" vertical="center" wrapText="1"/>
    </xf>
    <xf numFmtId="0" fontId="31" fillId="0" borderId="99" xfId="7" applyFont="1" applyFill="1" applyBorder="1" applyAlignment="1">
      <alignment horizontal="center" vertical="center" wrapText="1"/>
    </xf>
    <xf numFmtId="3" fontId="12" fillId="0" borderId="99" xfId="7" applyNumberFormat="1" applyFont="1" applyFill="1" applyBorder="1" applyAlignment="1">
      <alignment horizontal="center" vertical="center" wrapText="1"/>
    </xf>
    <xf numFmtId="168" fontId="79" fillId="22" borderId="0" xfId="0" applyNumberFormat="1" applyFont="1" applyFill="1" applyBorder="1" applyAlignment="1" applyProtection="1">
      <alignment horizontal="center"/>
      <protection hidden="1"/>
    </xf>
    <xf numFmtId="3" fontId="10" fillId="34" borderId="79" xfId="0" applyNumberFormat="1" applyFont="1" applyFill="1" applyBorder="1" applyAlignment="1" applyProtection="1">
      <protection hidden="1"/>
    </xf>
    <xf numFmtId="3" fontId="10" fillId="34" borderId="79" xfId="0" applyNumberFormat="1" applyFont="1" applyFill="1" applyBorder="1" applyAlignment="1" applyProtection="1">
      <alignment horizontal="left" wrapText="1"/>
      <protection hidden="1"/>
    </xf>
    <xf numFmtId="3" fontId="10" fillId="34" borderId="43" xfId="0" applyNumberFormat="1" applyFont="1" applyFill="1" applyBorder="1" applyAlignment="1" applyProtection="1">
      <alignment horizontal="left" wrapText="1"/>
      <protection hidden="1"/>
    </xf>
    <xf numFmtId="168" fontId="10" fillId="34" borderId="43" xfId="0" applyNumberFormat="1" applyFont="1" applyFill="1" applyBorder="1" applyAlignment="1" applyProtection="1">
      <protection hidden="1"/>
    </xf>
    <xf numFmtId="168" fontId="79" fillId="23" borderId="0" xfId="0" applyNumberFormat="1" applyFont="1" applyFill="1" applyBorder="1" applyProtection="1">
      <protection hidden="1"/>
    </xf>
    <xf numFmtId="168" fontId="10" fillId="7" borderId="0" xfId="0" applyNumberFormat="1" applyFont="1" applyFill="1" applyBorder="1" applyProtection="1">
      <protection hidden="1"/>
    </xf>
    <xf numFmtId="168" fontId="12" fillId="32" borderId="100" xfId="7" applyNumberFormat="1" applyFont="1" applyFill="1" applyBorder="1" applyAlignment="1">
      <alignment horizontal="right" vertical="center"/>
    </xf>
    <xf numFmtId="168" fontId="12" fillId="32" borderId="0" xfId="0" applyNumberFormat="1" applyFont="1" applyFill="1" applyAlignment="1" applyProtection="1">
      <alignment horizontal="right"/>
      <protection hidden="1"/>
    </xf>
    <xf numFmtId="3" fontId="12" fillId="0" borderId="98" xfId="7" applyNumberFormat="1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right"/>
      <protection hidden="1"/>
    </xf>
    <xf numFmtId="168" fontId="12" fillId="0" borderId="98" xfId="7" applyNumberFormat="1" applyFont="1" applyFill="1" applyBorder="1" applyAlignment="1">
      <alignment horizontal="right" vertical="center"/>
    </xf>
    <xf numFmtId="168" fontId="12" fillId="0" borderId="101" xfId="7" applyNumberFormat="1" applyFont="1" applyFill="1" applyBorder="1" applyAlignment="1">
      <alignment horizontal="right" vertical="center"/>
    </xf>
    <xf numFmtId="0" fontId="10" fillId="22" borderId="0" xfId="0" applyFont="1" applyFill="1" applyBorder="1" applyAlignment="1" applyProtection="1">
      <alignment horizontal="left"/>
      <protection hidden="1"/>
    </xf>
    <xf numFmtId="3" fontId="12" fillId="32" borderId="100" xfId="7" applyNumberFormat="1" applyFont="1" applyFill="1" applyBorder="1" applyAlignment="1">
      <alignment vertical="center"/>
    </xf>
    <xf numFmtId="0" fontId="12" fillId="32" borderId="0" xfId="0" applyFont="1" applyFill="1" applyProtection="1">
      <protection hidden="1"/>
    </xf>
    <xf numFmtId="3" fontId="10" fillId="26" borderId="18" xfId="0" applyNumberFormat="1" applyFont="1" applyFill="1" applyBorder="1" applyAlignment="1" applyProtection="1">
      <alignment horizontal="left" vertical="center"/>
      <protection hidden="1"/>
    </xf>
    <xf numFmtId="0" fontId="10" fillId="26" borderId="0" xfId="0" applyFont="1" applyFill="1" applyBorder="1" applyAlignment="1" applyProtection="1">
      <alignment horizontal="left" wrapText="1"/>
      <protection hidden="1"/>
    </xf>
    <xf numFmtId="3" fontId="12" fillId="26" borderId="26" xfId="0" applyNumberFormat="1" applyFont="1" applyFill="1" applyBorder="1" applyAlignment="1" applyProtection="1">
      <alignment horizontal="right" vertical="center"/>
      <protection hidden="1"/>
    </xf>
    <xf numFmtId="3" fontId="12" fillId="26" borderId="18" xfId="0" applyNumberFormat="1" applyFont="1" applyFill="1" applyBorder="1" applyAlignment="1" applyProtection="1">
      <alignment horizontal="right" vertical="center"/>
      <protection hidden="1"/>
    </xf>
    <xf numFmtId="168" fontId="12" fillId="26" borderId="18" xfId="0" applyNumberFormat="1" applyFont="1" applyFill="1" applyBorder="1" applyAlignment="1" applyProtection="1">
      <alignment horizontal="right" vertical="center"/>
      <protection hidden="1"/>
    </xf>
    <xf numFmtId="0" fontId="12" fillId="26" borderId="0" xfId="0" applyFont="1" applyFill="1" applyBorder="1" applyProtection="1">
      <protection hidden="1"/>
    </xf>
    <xf numFmtId="0" fontId="12" fillId="26" borderId="0" xfId="0" applyFont="1" applyFill="1" applyProtection="1">
      <protection hidden="1"/>
    </xf>
    <xf numFmtId="0" fontId="10" fillId="26" borderId="0" xfId="0" applyFont="1" applyFill="1" applyBorder="1" applyAlignment="1" applyProtection="1">
      <alignment horizontal="left"/>
      <protection hidden="1"/>
    </xf>
    <xf numFmtId="168" fontId="12" fillId="26" borderId="18" xfId="0" applyNumberFormat="1" applyFont="1" applyFill="1" applyBorder="1" applyAlignment="1" applyProtection="1">
      <alignment horizontal="right"/>
      <protection hidden="1"/>
    </xf>
    <xf numFmtId="4" fontId="12" fillId="26" borderId="18" xfId="0" applyNumberFormat="1" applyFont="1" applyFill="1" applyBorder="1" applyAlignment="1" applyProtection="1">
      <alignment horizontal="right" vertical="center"/>
      <protection hidden="1"/>
    </xf>
    <xf numFmtId="4" fontId="12" fillId="26" borderId="18" xfId="0" applyNumberFormat="1" applyFont="1" applyFill="1" applyBorder="1" applyAlignment="1" applyProtection="1">
      <alignment horizontal="right"/>
      <protection hidden="1"/>
    </xf>
    <xf numFmtId="4" fontId="12" fillId="22" borderId="18" xfId="0" applyNumberFormat="1" applyFont="1" applyFill="1" applyBorder="1" applyAlignment="1" applyProtection="1">
      <alignment horizontal="right"/>
      <protection hidden="1"/>
    </xf>
    <xf numFmtId="4" fontId="11" fillId="26" borderId="29" xfId="0" applyNumberFormat="1" applyFont="1" applyFill="1" applyBorder="1" applyAlignment="1" applyProtection="1">
      <alignment horizontal="right"/>
      <protection hidden="1"/>
    </xf>
    <xf numFmtId="4" fontId="13" fillId="22" borderId="18" xfId="0" applyNumberFormat="1" applyFont="1" applyFill="1" applyBorder="1" applyAlignment="1" applyProtection="1">
      <alignment horizontal="right"/>
      <protection hidden="1"/>
    </xf>
    <xf numFmtId="49" fontId="8" fillId="26" borderId="0" xfId="0" applyNumberFormat="1" applyFont="1" applyFill="1" applyProtection="1">
      <protection hidden="1"/>
    </xf>
    <xf numFmtId="0" fontId="8" fillId="26" borderId="0" xfId="0" applyFont="1" applyFill="1" applyProtection="1">
      <protection hidden="1"/>
    </xf>
    <xf numFmtId="0" fontId="72" fillId="26" borderId="0" xfId="0" applyFont="1" applyFill="1" applyProtection="1">
      <protection hidden="1"/>
    </xf>
    <xf numFmtId="0" fontId="8" fillId="22" borderId="0" xfId="0" applyFont="1" applyFill="1" applyBorder="1" applyProtection="1">
      <protection hidden="1"/>
    </xf>
    <xf numFmtId="0" fontId="8" fillId="26" borderId="0" xfId="0" applyFont="1" applyFill="1" applyBorder="1" applyProtection="1">
      <protection hidden="1"/>
    </xf>
    <xf numFmtId="49" fontId="10" fillId="26" borderId="0" xfId="0" applyNumberFormat="1" applyFont="1" applyFill="1" applyProtection="1">
      <protection hidden="1"/>
    </xf>
    <xf numFmtId="0" fontId="10" fillId="26" borderId="0" xfId="0" applyFont="1" applyFill="1" applyProtection="1">
      <protection hidden="1"/>
    </xf>
    <xf numFmtId="0" fontId="10" fillId="26" borderId="0" xfId="0" applyFont="1" applyFill="1" applyProtection="1">
      <protection locked="0"/>
    </xf>
    <xf numFmtId="0" fontId="10" fillId="22" borderId="0" xfId="0" applyFont="1" applyFill="1" applyBorder="1" applyProtection="1">
      <protection hidden="1"/>
    </xf>
    <xf numFmtId="0" fontId="10" fillId="26" borderId="0" xfId="0" applyFont="1" applyFill="1" applyBorder="1" applyProtection="1">
      <protection hidden="1"/>
    </xf>
    <xf numFmtId="0" fontId="73" fillId="26" borderId="0" xfId="0" applyFont="1" applyFill="1" applyBorder="1" applyAlignment="1" applyProtection="1">
      <alignment vertical="top" wrapText="1"/>
      <protection hidden="1"/>
    </xf>
    <xf numFmtId="0" fontId="8" fillId="26" borderId="0" xfId="0" applyFont="1" applyFill="1" applyBorder="1" applyAlignment="1" applyProtection="1">
      <alignment vertical="top" wrapText="1"/>
      <protection hidden="1"/>
    </xf>
    <xf numFmtId="0" fontId="72" fillId="26" borderId="0" xfId="0" applyFont="1" applyFill="1" applyBorder="1" applyAlignment="1" applyProtection="1">
      <alignment vertical="top" wrapText="1"/>
      <protection hidden="1"/>
    </xf>
    <xf numFmtId="0" fontId="72" fillId="26" borderId="0" xfId="0" applyFont="1" applyFill="1" applyBorder="1" applyAlignment="1" applyProtection="1">
      <alignment vertical="top" wrapText="1"/>
      <protection locked="0"/>
    </xf>
    <xf numFmtId="0" fontId="73" fillId="26" borderId="0" xfId="0" applyFont="1" applyFill="1" applyBorder="1" applyAlignment="1" applyProtection="1">
      <alignment vertical="top" wrapText="1"/>
      <protection locked="0"/>
    </xf>
    <xf numFmtId="0" fontId="10" fillId="26" borderId="0" xfId="0" applyFont="1" applyFill="1" applyAlignment="1" applyProtection="1">
      <alignment horizontal="left" vertical="top" indent="8"/>
      <protection hidden="1"/>
    </xf>
    <xf numFmtId="0" fontId="8" fillId="26" borderId="0" xfId="0" applyFont="1" applyFill="1" applyProtection="1">
      <protection locked="0"/>
    </xf>
    <xf numFmtId="0" fontId="8" fillId="26" borderId="0" xfId="0" applyFont="1" applyFill="1" applyAlignment="1" applyProtection="1">
      <alignment horizontal="center"/>
      <protection hidden="1"/>
    </xf>
    <xf numFmtId="0" fontId="8" fillId="26" borderId="0" xfId="0" applyFont="1" applyFill="1" applyAlignment="1" applyProtection="1">
      <alignment horizontal="center"/>
      <protection locked="0"/>
    </xf>
    <xf numFmtId="49" fontId="10" fillId="26" borderId="0" xfId="0" applyNumberFormat="1" applyFont="1" applyFill="1" applyAlignment="1" applyProtection="1">
      <alignment horizontal="right"/>
      <protection hidden="1"/>
    </xf>
    <xf numFmtId="0" fontId="10" fillId="26" borderId="0" xfId="0" applyFont="1" applyFill="1" applyAlignment="1" applyProtection="1">
      <alignment horizontal="left"/>
      <protection hidden="1"/>
    </xf>
    <xf numFmtId="49" fontId="8" fillId="26" borderId="0" xfId="0" applyNumberFormat="1" applyFont="1" applyFill="1" applyAlignment="1" applyProtection="1">
      <alignment horizontal="left"/>
      <protection hidden="1"/>
    </xf>
    <xf numFmtId="49" fontId="8" fillId="26" borderId="0" xfId="0" applyNumberFormat="1" applyFont="1" applyFill="1" applyAlignment="1" applyProtection="1">
      <alignment horizontal="center"/>
      <protection hidden="1"/>
    </xf>
    <xf numFmtId="49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1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4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22" borderId="0" xfId="0" applyFont="1" applyFill="1" applyBorder="1" applyAlignment="1" applyProtection="1">
      <alignment horizontal="center"/>
      <protection hidden="1"/>
    </xf>
    <xf numFmtId="0" fontId="10" fillId="26" borderId="0" xfId="0" applyFont="1" applyFill="1" applyBorder="1" applyAlignment="1" applyProtection="1">
      <alignment horizontal="center"/>
      <protection hidden="1"/>
    </xf>
    <xf numFmtId="0" fontId="10" fillId="26" borderId="0" xfId="0" applyFont="1" applyFill="1" applyAlignment="1" applyProtection="1">
      <alignment horizontal="center"/>
      <protection hidden="1"/>
    </xf>
    <xf numFmtId="0" fontId="10" fillId="22" borderId="46" xfId="0" applyFont="1" applyFill="1" applyBorder="1" applyAlignment="1" applyProtection="1">
      <alignment horizontal="center" vertical="center" wrapText="1"/>
      <protection hidden="1"/>
    </xf>
    <xf numFmtId="49" fontId="9" fillId="22" borderId="43" xfId="0" applyNumberFormat="1" applyFont="1" applyFill="1" applyBorder="1" applyAlignment="1" applyProtection="1">
      <alignment horizontal="center" vertical="center" wrapText="1"/>
      <protection hidden="1"/>
    </xf>
    <xf numFmtId="0" fontId="9" fillId="22" borderId="47" xfId="0" applyFont="1" applyFill="1" applyBorder="1" applyAlignment="1" applyProtection="1">
      <alignment horizontal="center" vertical="center" wrapText="1"/>
      <protection hidden="1"/>
    </xf>
    <xf numFmtId="49" fontId="9" fillId="22" borderId="42" xfId="0" applyNumberFormat="1" applyFont="1" applyFill="1" applyBorder="1" applyAlignment="1" applyProtection="1">
      <alignment horizontal="center" vertical="center" wrapText="1"/>
      <protection hidden="1"/>
    </xf>
    <xf numFmtId="1" fontId="9" fillId="22" borderId="43" xfId="0" applyNumberFormat="1" applyFont="1" applyFill="1" applyBorder="1" applyAlignment="1" applyProtection="1">
      <alignment horizontal="center" vertical="center" wrapText="1"/>
      <protection hidden="1"/>
    </xf>
    <xf numFmtId="1" fontId="9" fillId="22" borderId="42" xfId="0" applyNumberFormat="1" applyFont="1" applyFill="1" applyBorder="1" applyAlignment="1" applyProtection="1">
      <alignment horizontal="center" vertical="center" wrapText="1"/>
      <protection hidden="1"/>
    </xf>
    <xf numFmtId="0" fontId="11" fillId="22" borderId="0" xfId="0" applyFont="1" applyFill="1" applyBorder="1" applyAlignment="1" applyProtection="1">
      <alignment horizontal="center"/>
      <protection hidden="1"/>
    </xf>
    <xf numFmtId="0" fontId="11" fillId="26" borderId="0" xfId="0" applyFont="1" applyFill="1" applyBorder="1" applyAlignment="1" applyProtection="1">
      <alignment horizontal="center"/>
      <protection hidden="1"/>
    </xf>
    <xf numFmtId="0" fontId="11" fillId="26" borderId="0" xfId="0" applyFont="1" applyFill="1" applyAlignment="1" applyProtection="1">
      <alignment horizontal="center"/>
      <protection hidden="1"/>
    </xf>
    <xf numFmtId="49" fontId="9" fillId="22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22" borderId="48" xfId="0" applyFont="1" applyFill="1" applyBorder="1" applyAlignment="1" applyProtection="1">
      <alignment horizontal="center" vertical="center" wrapText="1"/>
      <protection hidden="1"/>
    </xf>
    <xf numFmtId="49" fontId="9" fillId="22" borderId="26" xfId="0" applyNumberFormat="1" applyFont="1" applyFill="1" applyBorder="1" applyAlignment="1" applyProtection="1">
      <alignment horizontal="center" vertical="center" wrapText="1"/>
      <protection hidden="1"/>
    </xf>
    <xf numFmtId="1" fontId="9" fillId="22" borderId="26" xfId="0" applyNumberFormat="1" applyFont="1" applyFill="1" applyBorder="1" applyAlignment="1" applyProtection="1">
      <alignment horizontal="center" vertical="center" wrapText="1"/>
      <protection hidden="1"/>
    </xf>
    <xf numFmtId="1" fontId="9" fillId="22" borderId="38" xfId="0" applyNumberFormat="1" applyFont="1" applyFill="1" applyBorder="1" applyAlignment="1" applyProtection="1">
      <alignment horizontal="center" vertical="center" wrapText="1"/>
      <protection hidden="1"/>
    </xf>
    <xf numFmtId="4" fontId="9" fillId="22" borderId="38" xfId="0" applyNumberFormat="1" applyFont="1" applyFill="1" applyBorder="1" applyAlignment="1" applyProtection="1">
      <alignment horizontal="center" vertical="center" wrapText="1"/>
      <protection hidden="1"/>
    </xf>
    <xf numFmtId="49" fontId="10" fillId="23" borderId="23" xfId="0" applyNumberFormat="1" applyFont="1" applyFill="1" applyBorder="1" applyAlignment="1" applyProtection="1">
      <alignment horizontal="left"/>
      <protection hidden="1"/>
    </xf>
    <xf numFmtId="3" fontId="10" fillId="23" borderId="24" xfId="0" applyNumberFormat="1" applyFont="1" applyFill="1" applyBorder="1" applyAlignment="1" applyProtection="1">
      <protection hidden="1"/>
    </xf>
    <xf numFmtId="168" fontId="10" fillId="23" borderId="24" xfId="0" applyNumberFormat="1" applyFont="1" applyFill="1" applyBorder="1" applyAlignment="1" applyProtection="1">
      <protection hidden="1"/>
    </xf>
    <xf numFmtId="4" fontId="10" fillId="23" borderId="24" xfId="0" applyNumberFormat="1" applyFont="1" applyFill="1" applyBorder="1" applyAlignment="1" applyProtection="1">
      <protection hidden="1"/>
    </xf>
    <xf numFmtId="168" fontId="10" fillId="23" borderId="0" xfId="0" applyNumberFormat="1" applyFont="1" applyFill="1" applyBorder="1" applyProtection="1">
      <protection hidden="1"/>
    </xf>
    <xf numFmtId="3" fontId="10" fillId="23" borderId="0" xfId="0" applyNumberFormat="1" applyFont="1" applyFill="1" applyBorder="1" applyProtection="1">
      <protection hidden="1"/>
    </xf>
    <xf numFmtId="0" fontId="10" fillId="23" borderId="0" xfId="0" applyFont="1" applyFill="1" applyBorder="1" applyProtection="1">
      <protection hidden="1"/>
    </xf>
    <xf numFmtId="0" fontId="10" fillId="23" borderId="0" xfId="0" applyFont="1" applyFill="1" applyProtection="1">
      <protection hidden="1"/>
    </xf>
    <xf numFmtId="49" fontId="10" fillId="26" borderId="18" xfId="0" applyNumberFormat="1" applyFont="1" applyFill="1" applyBorder="1" applyAlignment="1" applyProtection="1">
      <alignment horizontal="left"/>
      <protection hidden="1"/>
    </xf>
    <xf numFmtId="0" fontId="10" fillId="26" borderId="18" xfId="0" applyFont="1" applyFill="1" applyBorder="1" applyAlignment="1" applyProtection="1">
      <alignment horizontal="left" wrapText="1"/>
      <protection hidden="1"/>
    </xf>
    <xf numFmtId="168" fontId="10" fillId="26" borderId="18" xfId="0" applyNumberFormat="1" applyFont="1" applyFill="1" applyBorder="1" applyAlignment="1" applyProtection="1">
      <alignment horizontal="center"/>
      <protection hidden="1"/>
    </xf>
    <xf numFmtId="4" fontId="10" fillId="26" borderId="18" xfId="0" applyNumberFormat="1" applyFont="1" applyFill="1" applyBorder="1" applyAlignment="1" applyProtection="1">
      <alignment horizontal="center"/>
      <protection hidden="1"/>
    </xf>
    <xf numFmtId="3" fontId="12" fillId="22" borderId="0" xfId="0" applyNumberFormat="1" applyFont="1" applyFill="1" applyBorder="1" applyProtection="1">
      <protection hidden="1"/>
    </xf>
    <xf numFmtId="0" fontId="12" fillId="22" borderId="0" xfId="0" applyFont="1" applyFill="1" applyBorder="1" applyProtection="1">
      <protection hidden="1"/>
    </xf>
    <xf numFmtId="0" fontId="10" fillId="26" borderId="0" xfId="0" applyFont="1" applyFill="1" applyBorder="1" applyAlignment="1" applyProtection="1">
      <alignment horizontal="left" vertical="center" wrapText="1"/>
      <protection hidden="1"/>
    </xf>
    <xf numFmtId="49" fontId="10" fillId="26" borderId="0" xfId="0" applyNumberFormat="1" applyFont="1" applyFill="1" applyBorder="1" applyAlignment="1" applyProtection="1">
      <alignment horizontal="left"/>
      <protection hidden="1"/>
    </xf>
    <xf numFmtId="49" fontId="10" fillId="26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26" borderId="0" xfId="0" applyFont="1" applyFill="1" applyBorder="1" applyProtection="1">
      <protection hidden="1"/>
    </xf>
    <xf numFmtId="0" fontId="13" fillId="26" borderId="0" xfId="0" applyFont="1" applyFill="1" applyProtection="1">
      <protection hidden="1"/>
    </xf>
    <xf numFmtId="49" fontId="11" fillId="26" borderId="43" xfId="0" applyNumberFormat="1" applyFont="1" applyFill="1" applyBorder="1" applyAlignment="1" applyProtection="1">
      <alignment horizontal="left"/>
      <protection hidden="1"/>
    </xf>
    <xf numFmtId="0" fontId="11" fillId="26" borderId="43" xfId="0" applyFont="1" applyFill="1" applyBorder="1" applyAlignment="1" applyProtection="1">
      <alignment horizontal="left" wrapText="1"/>
      <protection hidden="1"/>
    </xf>
    <xf numFmtId="168" fontId="11" fillId="26" borderId="43" xfId="0" applyNumberFormat="1" applyFont="1" applyFill="1" applyBorder="1" applyAlignment="1" applyProtection="1">
      <alignment horizontal="right"/>
      <protection hidden="1"/>
    </xf>
    <xf numFmtId="4" fontId="11" fillId="26" borderId="43" xfId="0" applyNumberFormat="1" applyFont="1" applyFill="1" applyBorder="1" applyAlignment="1" applyProtection="1">
      <alignment horizontal="right"/>
      <protection hidden="1"/>
    </xf>
    <xf numFmtId="0" fontId="11" fillId="26" borderId="0" xfId="0" applyFont="1" applyFill="1" applyBorder="1" applyProtection="1">
      <protection hidden="1"/>
    </xf>
    <xf numFmtId="0" fontId="11" fillId="26" borderId="0" xfId="0" applyFont="1" applyFill="1" applyProtection="1">
      <protection hidden="1"/>
    </xf>
    <xf numFmtId="0" fontId="14" fillId="26" borderId="0" xfId="0" applyFont="1" applyFill="1" applyAlignment="1" applyProtection="1">
      <alignment horizontal="right"/>
      <protection hidden="1"/>
    </xf>
    <xf numFmtId="0" fontId="9" fillId="22" borderId="42" xfId="0" applyFont="1" applyFill="1" applyBorder="1" applyAlignment="1" applyProtection="1">
      <alignment horizontal="center" vertical="center" wrapText="1"/>
      <protection hidden="1"/>
    </xf>
    <xf numFmtId="0" fontId="9" fillId="22" borderId="26" xfId="0" applyFont="1" applyFill="1" applyBorder="1" applyAlignment="1" applyProtection="1">
      <alignment horizontal="center" vertical="center" wrapText="1"/>
      <protection hidden="1"/>
    </xf>
    <xf numFmtId="1" fontId="9" fillId="22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left"/>
      <protection hidden="1"/>
    </xf>
    <xf numFmtId="49" fontId="10" fillId="23" borderId="24" xfId="0" applyNumberFormat="1" applyFont="1" applyFill="1" applyBorder="1" applyAlignment="1" applyProtection="1">
      <alignment horizontal="center"/>
      <protection hidden="1"/>
    </xf>
    <xf numFmtId="3" fontId="10" fillId="23" borderId="23" xfId="0" applyNumberFormat="1" applyFont="1" applyFill="1" applyBorder="1" applyAlignment="1" applyProtection="1">
      <protection hidden="1"/>
    </xf>
    <xf numFmtId="168" fontId="10" fillId="23" borderId="23" xfId="0" applyNumberFormat="1" applyFont="1" applyFill="1" applyBorder="1" applyAlignment="1" applyProtection="1">
      <protection hidden="1"/>
    </xf>
    <xf numFmtId="4" fontId="10" fillId="23" borderId="24" xfId="0" applyNumberFormat="1" applyFont="1" applyFill="1" applyBorder="1" applyAlignment="1" applyProtection="1">
      <alignment horizontal="right"/>
      <protection hidden="1"/>
    </xf>
    <xf numFmtId="49" fontId="12" fillId="26" borderId="18" xfId="0" applyNumberFormat="1" applyFont="1" applyFill="1" applyBorder="1" applyAlignment="1" applyProtection="1">
      <alignment horizontal="left"/>
      <protection hidden="1"/>
    </xf>
    <xf numFmtId="49" fontId="12" fillId="26" borderId="86" xfId="0" applyNumberFormat="1" applyFont="1" applyFill="1" applyBorder="1" applyAlignment="1" applyProtection="1">
      <alignment horizontal="center"/>
      <protection hidden="1"/>
    </xf>
    <xf numFmtId="49" fontId="12" fillId="26" borderId="18" xfId="0" applyNumberFormat="1" applyFont="1" applyFill="1" applyBorder="1" applyAlignment="1" applyProtection="1">
      <alignment horizontal="center"/>
      <protection hidden="1"/>
    </xf>
    <xf numFmtId="49" fontId="9" fillId="26" borderId="29" xfId="0" applyNumberFormat="1" applyFont="1" applyFill="1" applyBorder="1" applyAlignment="1" applyProtection="1">
      <alignment horizontal="left"/>
      <protection hidden="1"/>
    </xf>
    <xf numFmtId="0" fontId="11" fillId="26" borderId="2" xfId="0" applyFont="1" applyFill="1" applyBorder="1" applyAlignment="1" applyProtection="1">
      <alignment horizontal="center"/>
      <protection hidden="1"/>
    </xf>
    <xf numFmtId="49" fontId="11" fillId="26" borderId="29" xfId="0" applyNumberFormat="1" applyFont="1" applyFill="1" applyBorder="1" applyAlignment="1" applyProtection="1">
      <alignment horizontal="center"/>
      <protection hidden="1"/>
    </xf>
    <xf numFmtId="0" fontId="11" fillId="22" borderId="0" xfId="0" applyFont="1" applyFill="1" applyBorder="1" applyProtection="1">
      <protection hidden="1"/>
    </xf>
    <xf numFmtId="49" fontId="10" fillId="23" borderId="29" xfId="0" applyNumberFormat="1" applyFont="1" applyFill="1" applyBorder="1" applyAlignment="1" applyProtection="1">
      <alignment horizontal="left"/>
      <protection hidden="1"/>
    </xf>
    <xf numFmtId="0" fontId="10" fillId="23" borderId="2" xfId="0" applyFont="1" applyFill="1" applyBorder="1" applyAlignment="1" applyProtection="1">
      <alignment horizontal="left"/>
      <protection hidden="1"/>
    </xf>
    <xf numFmtId="49" fontId="10" fillId="23" borderId="29" xfId="0" applyNumberFormat="1" applyFont="1" applyFill="1" applyBorder="1" applyAlignment="1" applyProtection="1">
      <alignment horizontal="center"/>
      <protection hidden="1"/>
    </xf>
    <xf numFmtId="3" fontId="10" fillId="23" borderId="29" xfId="0" applyNumberFormat="1" applyFont="1" applyFill="1" applyBorder="1" applyAlignment="1" applyProtection="1">
      <alignment horizontal="right"/>
      <protection hidden="1"/>
    </xf>
    <xf numFmtId="168" fontId="10" fillId="23" borderId="29" xfId="0" applyNumberFormat="1" applyFont="1" applyFill="1" applyBorder="1" applyAlignment="1" applyProtection="1">
      <alignment horizontal="right"/>
      <protection hidden="1"/>
    </xf>
    <xf numFmtId="4" fontId="10" fillId="23" borderId="29" xfId="0" applyNumberFormat="1" applyFont="1" applyFill="1" applyBorder="1" applyAlignment="1" applyProtection="1">
      <alignment horizontal="right"/>
      <protection hidden="1"/>
    </xf>
    <xf numFmtId="49" fontId="11" fillId="26" borderId="18" xfId="0" applyNumberFormat="1" applyFont="1" applyFill="1" applyBorder="1" applyAlignment="1" applyProtection="1">
      <alignment horizontal="left"/>
      <protection hidden="1"/>
    </xf>
    <xf numFmtId="0" fontId="11" fillId="26" borderId="0" xfId="0" applyFont="1" applyFill="1" applyBorder="1" applyAlignment="1" applyProtection="1">
      <alignment horizontal="left"/>
      <protection hidden="1"/>
    </xf>
    <xf numFmtId="49" fontId="11" fillId="26" borderId="18" xfId="0" applyNumberFormat="1" applyFont="1" applyFill="1" applyBorder="1" applyAlignment="1" applyProtection="1">
      <alignment horizontal="center"/>
      <protection hidden="1"/>
    </xf>
    <xf numFmtId="168" fontId="11" fillId="26" borderId="18" xfId="0" applyNumberFormat="1" applyFont="1" applyFill="1" applyBorder="1" applyAlignment="1" applyProtection="1">
      <alignment horizontal="center"/>
      <protection hidden="1"/>
    </xf>
    <xf numFmtId="168" fontId="11" fillId="26" borderId="26" xfId="0" applyNumberFormat="1" applyFont="1" applyFill="1" applyBorder="1" applyAlignment="1" applyProtection="1">
      <alignment horizontal="center"/>
      <protection hidden="1"/>
    </xf>
    <xf numFmtId="4" fontId="11" fillId="26" borderId="26" xfId="0" applyNumberFormat="1" applyFont="1" applyFill="1" applyBorder="1" applyAlignment="1" applyProtection="1">
      <alignment horizontal="center"/>
      <protection hidden="1"/>
    </xf>
    <xf numFmtId="0" fontId="10" fillId="22" borderId="0" xfId="0" applyFont="1" applyFill="1" applyBorder="1" applyAlignment="1" applyProtection="1">
      <alignment horizontal="left" wrapText="1"/>
      <protection hidden="1"/>
    </xf>
    <xf numFmtId="3" fontId="12" fillId="22" borderId="18" xfId="0" applyNumberFormat="1" applyFont="1" applyFill="1" applyBorder="1" applyAlignment="1" applyProtection="1">
      <alignment horizontal="center" vertical="center"/>
      <protection hidden="1"/>
    </xf>
    <xf numFmtId="3" fontId="12" fillId="22" borderId="18" xfId="0" applyNumberFormat="1" applyFont="1" applyFill="1" applyBorder="1" applyAlignment="1" applyProtection="1">
      <alignment horizontal="right" vertical="center"/>
      <protection hidden="1"/>
    </xf>
    <xf numFmtId="168" fontId="12" fillId="22" borderId="18" xfId="0" applyNumberFormat="1" applyFont="1" applyFill="1" applyBorder="1" applyAlignment="1" applyProtection="1">
      <alignment horizontal="right" vertical="center"/>
      <protection hidden="1"/>
    </xf>
    <xf numFmtId="4" fontId="12" fillId="22" borderId="18" xfId="0" applyNumberFormat="1" applyFont="1" applyFill="1" applyBorder="1" applyAlignment="1" applyProtection="1">
      <alignment horizontal="right" vertical="center"/>
      <protection hidden="1"/>
    </xf>
    <xf numFmtId="0" fontId="9" fillId="22" borderId="0" xfId="0" applyFont="1" applyFill="1" applyBorder="1" applyProtection="1">
      <protection hidden="1"/>
    </xf>
    <xf numFmtId="0" fontId="9" fillId="26" borderId="0" xfId="0" applyFont="1" applyFill="1" applyBorder="1" applyProtection="1">
      <protection hidden="1"/>
    </xf>
    <xf numFmtId="49" fontId="11" fillId="26" borderId="29" xfId="0" applyNumberFormat="1" applyFont="1" applyFill="1" applyBorder="1" applyAlignment="1" applyProtection="1">
      <alignment horizontal="left"/>
      <protection hidden="1"/>
    </xf>
    <xf numFmtId="0" fontId="11" fillId="26" borderId="2" xfId="0" applyFont="1" applyFill="1" applyBorder="1" applyAlignment="1" applyProtection="1">
      <alignment horizontal="left"/>
      <protection hidden="1"/>
    </xf>
    <xf numFmtId="0" fontId="10" fillId="23" borderId="30" xfId="0" applyFont="1" applyFill="1" applyBorder="1" applyAlignment="1" applyProtection="1">
      <alignment horizontal="left"/>
      <protection hidden="1"/>
    </xf>
    <xf numFmtId="49" fontId="10" fillId="23" borderId="30" xfId="0" applyNumberFormat="1" applyFont="1" applyFill="1" applyBorder="1" applyAlignment="1" applyProtection="1">
      <alignment horizontal="center"/>
      <protection hidden="1"/>
    </xf>
    <xf numFmtId="3" fontId="10" fillId="23" borderId="29" xfId="0" applyNumberFormat="1" applyFont="1" applyFill="1" applyBorder="1" applyAlignment="1" applyProtection="1">
      <protection hidden="1"/>
    </xf>
    <xf numFmtId="168" fontId="10" fillId="23" borderId="29" xfId="0" applyNumberFormat="1" applyFont="1" applyFill="1" applyBorder="1" applyAlignment="1" applyProtection="1">
      <protection hidden="1"/>
    </xf>
    <xf numFmtId="168" fontId="10" fillId="23" borderId="30" xfId="0" applyNumberFormat="1" applyFont="1" applyFill="1" applyBorder="1" applyAlignment="1" applyProtection="1">
      <protection hidden="1"/>
    </xf>
    <xf numFmtId="4" fontId="10" fillId="23" borderId="30" xfId="0" applyNumberFormat="1" applyFont="1" applyFill="1" applyBorder="1" applyAlignment="1" applyProtection="1">
      <protection hidden="1"/>
    </xf>
    <xf numFmtId="0" fontId="11" fillId="26" borderId="26" xfId="0" applyFont="1" applyFill="1" applyBorder="1" applyAlignment="1" applyProtection="1">
      <alignment horizontal="left"/>
      <protection hidden="1"/>
    </xf>
    <xf numFmtId="49" fontId="11" fillId="26" borderId="26" xfId="0" applyNumberFormat="1" applyFont="1" applyFill="1" applyBorder="1" applyAlignment="1" applyProtection="1">
      <alignment horizontal="center"/>
      <protection hidden="1"/>
    </xf>
    <xf numFmtId="3" fontId="11" fillId="26" borderId="18" xfId="0" applyNumberFormat="1" applyFont="1" applyFill="1" applyBorder="1" applyAlignment="1" applyProtection="1">
      <alignment horizontal="right"/>
      <protection hidden="1"/>
    </xf>
    <xf numFmtId="168" fontId="11" fillId="26" borderId="18" xfId="0" applyNumberFormat="1" applyFont="1" applyFill="1" applyBorder="1" applyAlignment="1" applyProtection="1">
      <alignment horizontal="right"/>
      <protection hidden="1"/>
    </xf>
    <xf numFmtId="4" fontId="11" fillId="26" borderId="18" xfId="0" applyNumberFormat="1" applyFont="1" applyFill="1" applyBorder="1" applyAlignment="1" applyProtection="1">
      <alignment horizontal="right"/>
      <protection hidden="1"/>
    </xf>
    <xf numFmtId="49" fontId="13" fillId="22" borderId="18" xfId="0" applyNumberFormat="1" applyFont="1" applyFill="1" applyBorder="1" applyAlignment="1" applyProtection="1">
      <alignment horizontal="center" vertical="center"/>
      <protection hidden="1"/>
    </xf>
    <xf numFmtId="0" fontId="10" fillId="22" borderId="0" xfId="0" applyFont="1" applyFill="1" applyBorder="1" applyAlignment="1" applyProtection="1">
      <alignment vertical="center"/>
      <protection hidden="1"/>
    </xf>
    <xf numFmtId="0" fontId="10" fillId="26" borderId="0" xfId="0" applyFont="1" applyFill="1" applyBorder="1" applyAlignment="1" applyProtection="1">
      <alignment vertical="center"/>
      <protection hidden="1"/>
    </xf>
    <xf numFmtId="0" fontId="10" fillId="26" borderId="0" xfId="0" applyFont="1" applyFill="1" applyAlignment="1" applyProtection="1">
      <alignment vertical="center"/>
      <protection hidden="1"/>
    </xf>
    <xf numFmtId="0" fontId="10" fillId="26" borderId="26" xfId="0" applyFont="1" applyFill="1" applyBorder="1" applyAlignment="1" applyProtection="1">
      <alignment horizontal="left" wrapText="1"/>
      <protection hidden="1"/>
    </xf>
    <xf numFmtId="49" fontId="10" fillId="26" borderId="26" xfId="0" applyNumberFormat="1" applyFont="1" applyFill="1" applyBorder="1" applyAlignment="1" applyProtection="1">
      <alignment horizontal="center"/>
      <protection hidden="1"/>
    </xf>
    <xf numFmtId="3" fontId="81" fillId="26" borderId="18" xfId="0" applyNumberFormat="1" applyFont="1" applyFill="1" applyBorder="1" applyAlignment="1" applyProtection="1">
      <protection hidden="1"/>
    </xf>
    <xf numFmtId="168" fontId="81" fillId="26" borderId="18" xfId="0" applyNumberFormat="1" applyFont="1" applyFill="1" applyBorder="1" applyAlignment="1" applyProtection="1">
      <protection hidden="1"/>
    </xf>
    <xf numFmtId="168" fontId="81" fillId="26" borderId="26" xfId="0" applyNumberFormat="1" applyFont="1" applyFill="1" applyBorder="1" applyAlignment="1" applyProtection="1">
      <protection hidden="1"/>
    </xf>
    <xf numFmtId="168" fontId="87" fillId="26" borderId="26" xfId="0" applyNumberFormat="1" applyFont="1" applyFill="1" applyBorder="1" applyAlignment="1" applyProtection="1">
      <protection hidden="1"/>
    </xf>
    <xf numFmtId="168" fontId="15" fillId="26" borderId="26" xfId="0" applyNumberFormat="1" applyFont="1" applyFill="1" applyBorder="1" applyAlignment="1" applyProtection="1">
      <protection hidden="1"/>
    </xf>
    <xf numFmtId="4" fontId="15" fillId="26" borderId="26" xfId="0" applyNumberFormat="1" applyFont="1" applyFill="1" applyBorder="1" applyAlignment="1" applyProtection="1">
      <protection hidden="1"/>
    </xf>
    <xf numFmtId="49" fontId="9" fillId="26" borderId="43" xfId="0" applyNumberFormat="1" applyFont="1" applyFill="1" applyBorder="1" applyAlignment="1" applyProtection="1">
      <alignment horizontal="left"/>
      <protection hidden="1"/>
    </xf>
    <xf numFmtId="0" fontId="9" fillId="26" borderId="1" xfId="0" applyFont="1" applyFill="1" applyBorder="1" applyAlignment="1" applyProtection="1">
      <alignment horizontal="left"/>
      <protection hidden="1"/>
    </xf>
    <xf numFmtId="49" fontId="9" fillId="26" borderId="43" xfId="0" applyNumberFormat="1" applyFont="1" applyFill="1" applyBorder="1" applyAlignment="1" applyProtection="1">
      <alignment horizontal="center"/>
      <protection hidden="1"/>
    </xf>
    <xf numFmtId="168" fontId="83" fillId="26" borderId="43" xfId="0" applyNumberFormat="1" applyFont="1" applyFill="1" applyBorder="1" applyAlignment="1" applyProtection="1">
      <alignment horizontal="right"/>
      <protection hidden="1"/>
    </xf>
    <xf numFmtId="168" fontId="83" fillId="26" borderId="42" xfId="0" applyNumberFormat="1" applyFont="1" applyFill="1" applyBorder="1" applyAlignment="1" applyProtection="1">
      <alignment horizontal="right"/>
      <protection hidden="1"/>
    </xf>
    <xf numFmtId="168" fontId="9" fillId="26" borderId="42" xfId="0" applyNumberFormat="1" applyFont="1" applyFill="1" applyBorder="1" applyAlignment="1" applyProtection="1">
      <alignment horizontal="right"/>
      <protection hidden="1"/>
    </xf>
    <xf numFmtId="4" fontId="9" fillId="26" borderId="42" xfId="0" applyNumberFormat="1" applyFont="1" applyFill="1" applyBorder="1" applyAlignment="1" applyProtection="1">
      <alignment horizontal="right"/>
      <protection hidden="1"/>
    </xf>
    <xf numFmtId="49" fontId="88" fillId="26" borderId="0" xfId="0" applyNumberFormat="1" applyFont="1" applyFill="1" applyAlignment="1" applyProtection="1">
      <alignment horizontal="center"/>
      <protection hidden="1"/>
    </xf>
    <xf numFmtId="49" fontId="89" fillId="26" borderId="0" xfId="0" applyNumberFormat="1" applyFont="1" applyFill="1" applyBorder="1" applyAlignment="1" applyProtection="1">
      <alignment horizontal="center"/>
      <protection hidden="1"/>
    </xf>
    <xf numFmtId="49" fontId="10" fillId="22" borderId="79" xfId="0" applyNumberFormat="1" applyFont="1" applyFill="1" applyBorder="1" applyAlignment="1" applyProtection="1">
      <alignment horizontal="center" vertical="center" wrapText="1"/>
      <protection hidden="1"/>
    </xf>
    <xf numFmtId="1" fontId="10" fillId="26" borderId="79" xfId="0" applyNumberFormat="1" applyFont="1" applyFill="1" applyBorder="1" applyAlignment="1" applyProtection="1">
      <alignment horizontal="center" vertical="center" wrapText="1"/>
      <protection hidden="1"/>
    </xf>
    <xf numFmtId="1" fontId="10" fillId="26" borderId="46" xfId="0" applyNumberFormat="1" applyFont="1" applyFill="1" applyBorder="1" applyAlignment="1" applyProtection="1">
      <alignment horizontal="center" vertical="center" wrapText="1"/>
      <protection hidden="1"/>
    </xf>
    <xf numFmtId="49" fontId="9" fillId="26" borderId="43" xfId="0" applyNumberFormat="1" applyFont="1" applyFill="1" applyBorder="1" applyAlignment="1" applyProtection="1">
      <alignment horizontal="center" vertical="center" wrapText="1"/>
      <protection hidden="1"/>
    </xf>
    <xf numFmtId="0" fontId="9" fillId="26" borderId="47" xfId="0" applyFont="1" applyFill="1" applyBorder="1" applyAlignment="1" applyProtection="1">
      <alignment horizontal="center" vertical="center" wrapText="1"/>
      <protection hidden="1"/>
    </xf>
    <xf numFmtId="49" fontId="9" fillId="26" borderId="42" xfId="0" applyNumberFormat="1" applyFont="1" applyFill="1" applyBorder="1" applyAlignment="1" applyProtection="1">
      <alignment horizontal="center" vertical="center" wrapText="1"/>
      <protection hidden="1"/>
    </xf>
    <xf numFmtId="1" fontId="9" fillId="26" borderId="43" xfId="0" applyNumberFormat="1" applyFont="1" applyFill="1" applyBorder="1" applyAlignment="1" applyProtection="1">
      <alignment horizontal="center" vertical="center" wrapText="1"/>
      <protection hidden="1"/>
    </xf>
    <xf numFmtId="1" fontId="9" fillId="26" borderId="42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29" xfId="0" applyNumberFormat="1" applyFont="1" applyFill="1" applyBorder="1" applyAlignment="1" applyProtection="1">
      <alignment horizontal="left"/>
      <protection hidden="1"/>
    </xf>
    <xf numFmtId="0" fontId="16" fillId="33" borderId="30" xfId="0" applyFont="1" applyFill="1" applyBorder="1" applyAlignment="1" applyProtection="1">
      <alignment horizontal="left"/>
      <protection hidden="1"/>
    </xf>
    <xf numFmtId="49" fontId="16" fillId="33" borderId="30" xfId="0" applyNumberFormat="1" applyFont="1" applyFill="1" applyBorder="1" applyAlignment="1" applyProtection="1">
      <alignment horizontal="center"/>
      <protection hidden="1"/>
    </xf>
    <xf numFmtId="3" fontId="16" fillId="33" borderId="29" xfId="0" applyNumberFormat="1" applyFont="1" applyFill="1" applyBorder="1" applyAlignment="1" applyProtection="1">
      <alignment horizontal="right"/>
      <protection hidden="1"/>
    </xf>
    <xf numFmtId="168" fontId="16" fillId="33" borderId="29" xfId="0" applyNumberFormat="1" applyFont="1" applyFill="1" applyBorder="1" applyAlignment="1" applyProtection="1">
      <alignment horizontal="right"/>
      <protection hidden="1"/>
    </xf>
    <xf numFmtId="4" fontId="16" fillId="33" borderId="29" xfId="0" applyNumberFormat="1" applyFont="1" applyFill="1" applyBorder="1" applyAlignment="1" applyProtection="1">
      <alignment horizontal="right"/>
      <protection hidden="1"/>
    </xf>
    <xf numFmtId="0" fontId="16" fillId="33" borderId="0" xfId="0" applyFont="1" applyFill="1" applyBorder="1" applyProtection="1">
      <protection hidden="1"/>
    </xf>
    <xf numFmtId="0" fontId="16" fillId="33" borderId="0" xfId="0" applyFont="1" applyFill="1" applyProtection="1">
      <protection hidden="1"/>
    </xf>
    <xf numFmtId="49" fontId="17" fillId="26" borderId="18" xfId="0" applyNumberFormat="1" applyFont="1" applyFill="1" applyBorder="1" applyAlignment="1" applyProtection="1">
      <alignment horizontal="left"/>
      <protection hidden="1"/>
    </xf>
    <xf numFmtId="0" fontId="17" fillId="26" borderId="26" xfId="0" applyFont="1" applyFill="1" applyBorder="1" applyAlignment="1" applyProtection="1">
      <alignment horizontal="left"/>
      <protection hidden="1"/>
    </xf>
    <xf numFmtId="49" fontId="17" fillId="26" borderId="26" xfId="0" applyNumberFormat="1" applyFont="1" applyFill="1" applyBorder="1" applyAlignment="1" applyProtection="1">
      <alignment horizontal="center"/>
      <protection hidden="1"/>
    </xf>
    <xf numFmtId="3" fontId="17" fillId="26" borderId="18" xfId="0" applyNumberFormat="1" applyFont="1" applyFill="1" applyBorder="1" applyAlignment="1" applyProtection="1">
      <alignment horizontal="center"/>
      <protection hidden="1"/>
    </xf>
    <xf numFmtId="168" fontId="17" fillId="26" borderId="18" xfId="0" applyNumberFormat="1" applyFont="1" applyFill="1" applyBorder="1" applyAlignment="1" applyProtection="1">
      <alignment horizontal="center"/>
      <protection hidden="1"/>
    </xf>
    <xf numFmtId="168" fontId="17" fillId="26" borderId="26" xfId="0" applyNumberFormat="1" applyFont="1" applyFill="1" applyBorder="1" applyAlignment="1" applyProtection="1">
      <alignment horizontal="center"/>
      <protection hidden="1"/>
    </xf>
    <xf numFmtId="4" fontId="17" fillId="26" borderId="26" xfId="0" applyNumberFormat="1" applyFont="1" applyFill="1" applyBorder="1" applyAlignment="1" applyProtection="1">
      <alignment horizontal="center"/>
      <protection hidden="1"/>
    </xf>
    <xf numFmtId="0" fontId="17" fillId="22" borderId="0" xfId="0" applyFont="1" applyFill="1" applyBorder="1" applyProtection="1">
      <protection hidden="1"/>
    </xf>
    <xf numFmtId="0" fontId="17" fillId="26" borderId="0" xfId="0" applyFont="1" applyFill="1" applyBorder="1" applyProtection="1">
      <protection hidden="1"/>
    </xf>
    <xf numFmtId="0" fontId="17" fillId="26" borderId="0" xfId="0" applyFont="1" applyFill="1" applyProtection="1">
      <protection hidden="1"/>
    </xf>
    <xf numFmtId="0" fontId="16" fillId="22" borderId="26" xfId="0" applyFont="1" applyFill="1" applyBorder="1" applyAlignment="1" applyProtection="1">
      <alignment horizontal="left" wrapText="1"/>
      <protection hidden="1"/>
    </xf>
    <xf numFmtId="49" fontId="13" fillId="22" borderId="26" xfId="0" applyNumberFormat="1" applyFont="1" applyFill="1" applyBorder="1" applyAlignment="1" applyProtection="1">
      <alignment horizontal="center"/>
      <protection hidden="1"/>
    </xf>
    <xf numFmtId="0" fontId="16" fillId="22" borderId="0" xfId="0" applyFont="1" applyFill="1" applyBorder="1" applyProtection="1">
      <protection hidden="1"/>
    </xf>
    <xf numFmtId="0" fontId="16" fillId="22" borderId="0" xfId="0" applyFont="1" applyFill="1" applyProtection="1">
      <protection hidden="1"/>
    </xf>
    <xf numFmtId="49" fontId="16" fillId="22" borderId="18" xfId="0" applyNumberFormat="1" applyFont="1" applyFill="1" applyBorder="1" applyAlignment="1" applyProtection="1">
      <alignment horizontal="left" vertical="center"/>
      <protection hidden="1"/>
    </xf>
    <xf numFmtId="49" fontId="13" fillId="22" borderId="26" xfId="0" applyNumberFormat="1" applyFont="1" applyFill="1" applyBorder="1" applyAlignment="1" applyProtection="1">
      <alignment horizontal="center" vertical="center"/>
      <protection hidden="1"/>
    </xf>
    <xf numFmtId="3" fontId="13" fillId="22" borderId="18" xfId="0" applyNumberFormat="1" applyFont="1" applyFill="1" applyBorder="1" applyAlignment="1" applyProtection="1">
      <alignment horizontal="right" vertical="center"/>
      <protection hidden="1"/>
    </xf>
    <xf numFmtId="168" fontId="13" fillId="22" borderId="18" xfId="0" applyNumberFormat="1" applyFont="1" applyFill="1" applyBorder="1" applyAlignment="1" applyProtection="1">
      <alignment horizontal="right" vertical="center"/>
      <protection hidden="1"/>
    </xf>
    <xf numFmtId="4" fontId="13" fillId="22" borderId="18" xfId="0" applyNumberFormat="1" applyFont="1" applyFill="1" applyBorder="1" applyAlignment="1" applyProtection="1">
      <alignment horizontal="right" vertical="center"/>
      <protection hidden="1"/>
    </xf>
    <xf numFmtId="49" fontId="16" fillId="22" borderId="26" xfId="0" applyNumberFormat="1" applyFont="1" applyFill="1" applyBorder="1" applyAlignment="1" applyProtection="1">
      <alignment horizontal="center"/>
      <protection hidden="1"/>
    </xf>
    <xf numFmtId="0" fontId="16" fillId="26" borderId="26" xfId="0" applyFont="1" applyFill="1" applyBorder="1" applyAlignment="1" applyProtection="1">
      <alignment horizontal="left"/>
      <protection hidden="1"/>
    </xf>
    <xf numFmtId="0" fontId="18" fillId="22" borderId="0" xfId="0" applyFont="1" applyFill="1" applyBorder="1" applyProtection="1">
      <protection hidden="1"/>
    </xf>
    <xf numFmtId="49" fontId="17" fillId="22" borderId="29" xfId="0" applyNumberFormat="1" applyFont="1" applyFill="1" applyBorder="1" applyAlignment="1" applyProtection="1">
      <alignment horizontal="left"/>
      <protection hidden="1"/>
    </xf>
    <xf numFmtId="0" fontId="17" fillId="22" borderId="30" xfId="0" applyFont="1" applyFill="1" applyBorder="1" applyAlignment="1" applyProtection="1">
      <alignment horizontal="left"/>
      <protection hidden="1"/>
    </xf>
    <xf numFmtId="49" fontId="17" fillId="22" borderId="30" xfId="0" applyNumberFormat="1" applyFont="1" applyFill="1" applyBorder="1" applyAlignment="1" applyProtection="1">
      <alignment horizontal="center"/>
      <protection hidden="1"/>
    </xf>
    <xf numFmtId="3" fontId="17" fillId="22" borderId="29" xfId="0" applyNumberFormat="1" applyFont="1" applyFill="1" applyBorder="1" applyAlignment="1" applyProtection="1">
      <alignment horizontal="right"/>
      <protection hidden="1"/>
    </xf>
    <xf numFmtId="168" fontId="17" fillId="22" borderId="29" xfId="0" applyNumberFormat="1" applyFont="1" applyFill="1" applyBorder="1" applyAlignment="1" applyProtection="1">
      <alignment horizontal="right"/>
      <protection hidden="1"/>
    </xf>
    <xf numFmtId="4" fontId="17" fillId="22" borderId="29" xfId="0" applyNumberFormat="1" applyFont="1" applyFill="1" applyBorder="1" applyAlignment="1" applyProtection="1">
      <alignment horizontal="right"/>
      <protection hidden="1"/>
    </xf>
    <xf numFmtId="49" fontId="17" fillId="22" borderId="18" xfId="0" applyNumberFormat="1" applyFont="1" applyFill="1" applyBorder="1" applyAlignment="1" applyProtection="1">
      <alignment horizontal="left"/>
      <protection hidden="1"/>
    </xf>
    <xf numFmtId="0" fontId="17" fillId="22" borderId="26" xfId="0" applyFont="1" applyFill="1" applyBorder="1" applyAlignment="1" applyProtection="1">
      <alignment horizontal="left"/>
      <protection hidden="1"/>
    </xf>
    <xf numFmtId="49" fontId="17" fillId="22" borderId="26" xfId="0" applyNumberFormat="1" applyFont="1" applyFill="1" applyBorder="1" applyAlignment="1" applyProtection="1">
      <alignment horizontal="center"/>
      <protection hidden="1"/>
    </xf>
    <xf numFmtId="3" fontId="17" fillId="22" borderId="18" xfId="0" applyNumberFormat="1" applyFont="1" applyFill="1" applyBorder="1" applyAlignment="1" applyProtection="1">
      <alignment horizontal="right"/>
      <protection hidden="1"/>
    </xf>
    <xf numFmtId="168" fontId="17" fillId="22" borderId="18" xfId="0" applyNumberFormat="1" applyFont="1" applyFill="1" applyBorder="1" applyAlignment="1" applyProtection="1">
      <alignment horizontal="right"/>
      <protection hidden="1"/>
    </xf>
    <xf numFmtId="4" fontId="17" fillId="22" borderId="18" xfId="0" applyNumberFormat="1" applyFont="1" applyFill="1" applyBorder="1" applyAlignment="1" applyProtection="1">
      <alignment horizontal="right"/>
      <protection hidden="1"/>
    </xf>
    <xf numFmtId="0" fontId="17" fillId="22" borderId="0" xfId="0" applyFont="1" applyFill="1" applyProtection="1">
      <protection hidden="1"/>
    </xf>
    <xf numFmtId="0" fontId="13" fillId="22" borderId="0" xfId="0" applyFont="1" applyFill="1" applyBorder="1" applyProtection="1">
      <protection hidden="1"/>
    </xf>
    <xf numFmtId="0" fontId="13" fillId="22" borderId="0" xfId="0" applyFont="1" applyFill="1" applyProtection="1">
      <protection hidden="1"/>
    </xf>
    <xf numFmtId="0" fontId="16" fillId="22" borderId="26" xfId="0" applyFont="1" applyFill="1" applyBorder="1" applyAlignment="1" applyProtection="1">
      <alignment horizontal="left"/>
      <protection hidden="1"/>
    </xf>
    <xf numFmtId="2" fontId="19" fillId="22" borderId="0" xfId="0" applyNumberFormat="1" applyFont="1" applyFill="1" applyBorder="1" applyProtection="1">
      <protection hidden="1"/>
    </xf>
    <xf numFmtId="0" fontId="3" fillId="22" borderId="0" xfId="0" applyFont="1" applyFill="1" applyBorder="1" applyProtection="1">
      <protection hidden="1"/>
    </xf>
    <xf numFmtId="0" fontId="3" fillId="35" borderId="0" xfId="0" applyFont="1" applyFill="1" applyBorder="1" applyProtection="1">
      <protection hidden="1"/>
    </xf>
    <xf numFmtId="0" fontId="3" fillId="35" borderId="32" xfId="0" applyFont="1" applyFill="1" applyBorder="1" applyProtection="1">
      <protection hidden="1"/>
    </xf>
    <xf numFmtId="49" fontId="16" fillId="22" borderId="26" xfId="0" applyNumberFormat="1" applyFont="1" applyFill="1" applyBorder="1" applyAlignment="1" applyProtection="1">
      <alignment horizontal="left" wrapText="1"/>
      <protection hidden="1"/>
    </xf>
    <xf numFmtId="0" fontId="5" fillId="22" borderId="0" xfId="0" applyFont="1" applyFill="1" applyBorder="1" applyAlignment="1" applyProtection="1">
      <alignment vertical="center"/>
      <protection hidden="1"/>
    </xf>
    <xf numFmtId="0" fontId="5" fillId="22" borderId="0" xfId="0" applyFont="1" applyFill="1" applyBorder="1" applyProtection="1">
      <protection hidden="1"/>
    </xf>
    <xf numFmtId="0" fontId="5" fillId="22" borderId="0" xfId="0" applyFont="1" applyFill="1" applyAlignment="1" applyProtection="1">
      <alignment vertical="center"/>
      <protection hidden="1"/>
    </xf>
    <xf numFmtId="3" fontId="16" fillId="22" borderId="0" xfId="0" applyNumberFormat="1" applyFont="1" applyFill="1" applyBorder="1" applyProtection="1">
      <protection hidden="1"/>
    </xf>
    <xf numFmtId="0" fontId="16" fillId="26" borderId="0" xfId="0" applyFont="1" applyFill="1" applyBorder="1" applyProtection="1">
      <protection hidden="1"/>
    </xf>
    <xf numFmtId="0" fontId="16" fillId="26" borderId="0" xfId="0" applyFont="1" applyFill="1" applyProtection="1">
      <protection hidden="1"/>
    </xf>
    <xf numFmtId="49" fontId="13" fillId="22" borderId="26" xfId="0" applyNumberFormat="1" applyFont="1" applyFill="1" applyBorder="1" applyAlignment="1" applyProtection="1">
      <alignment horizontal="center" wrapText="1"/>
      <protection hidden="1"/>
    </xf>
    <xf numFmtId="3" fontId="13" fillId="22" borderId="0" xfId="0" applyNumberFormat="1" applyFont="1" applyFill="1" applyBorder="1" applyProtection="1">
      <protection hidden="1"/>
    </xf>
    <xf numFmtId="0" fontId="13" fillId="22" borderId="1" xfId="0" applyFont="1" applyFill="1" applyBorder="1" applyProtection="1">
      <protection hidden="1"/>
    </xf>
    <xf numFmtId="49" fontId="16" fillId="26" borderId="43" xfId="0" applyNumberFormat="1" applyFont="1" applyFill="1" applyBorder="1" applyAlignment="1" applyProtection="1">
      <alignment horizontal="left"/>
      <protection hidden="1"/>
    </xf>
    <xf numFmtId="0" fontId="16" fillId="26" borderId="42" xfId="0" applyFont="1" applyFill="1" applyBorder="1" applyAlignment="1" applyProtection="1">
      <alignment horizontal="left" wrapText="1"/>
      <protection hidden="1"/>
    </xf>
    <xf numFmtId="49" fontId="16" fillId="26" borderId="42" xfId="0" applyNumberFormat="1" applyFont="1" applyFill="1" applyBorder="1" applyAlignment="1" applyProtection="1">
      <alignment horizontal="center"/>
      <protection hidden="1"/>
    </xf>
    <xf numFmtId="3" fontId="16" fillId="26" borderId="43" xfId="0" applyNumberFormat="1" applyFont="1" applyFill="1" applyBorder="1" applyAlignment="1" applyProtection="1">
      <alignment horizontal="center"/>
      <protection hidden="1"/>
    </xf>
    <xf numFmtId="168" fontId="16" fillId="26" borderId="43" xfId="0" applyNumberFormat="1" applyFont="1" applyFill="1" applyBorder="1" applyAlignment="1" applyProtection="1">
      <alignment horizontal="center"/>
      <protection hidden="1"/>
    </xf>
    <xf numFmtId="4" fontId="16" fillId="26" borderId="43" xfId="0" applyNumberFormat="1" applyFont="1" applyFill="1" applyBorder="1" applyAlignment="1" applyProtection="1">
      <alignment horizontal="center"/>
      <protection hidden="1"/>
    </xf>
    <xf numFmtId="3" fontId="21" fillId="22" borderId="0" xfId="0" applyNumberFormat="1" applyFont="1" applyFill="1" applyAlignment="1" applyProtection="1">
      <alignment horizontal="center"/>
      <protection hidden="1"/>
    </xf>
    <xf numFmtId="0" fontId="10" fillId="26" borderId="79" xfId="0" applyFont="1" applyFill="1" applyBorder="1" applyAlignment="1" applyProtection="1">
      <alignment horizontal="center" vertical="center" wrapText="1"/>
      <protection hidden="1"/>
    </xf>
    <xf numFmtId="0" fontId="10" fillId="26" borderId="46" xfId="0" applyFont="1" applyFill="1" applyBorder="1" applyAlignment="1" applyProtection="1">
      <alignment horizontal="center" vertical="center" wrapText="1"/>
      <protection hidden="1"/>
    </xf>
    <xf numFmtId="3" fontId="10" fillId="23" borderId="79" xfId="0" applyNumberFormat="1" applyFont="1" applyFill="1" applyBorder="1" applyAlignment="1" applyProtection="1">
      <protection hidden="1"/>
    </xf>
    <xf numFmtId="3" fontId="10" fillId="23" borderId="79" xfId="0" applyNumberFormat="1" applyFont="1" applyFill="1" applyBorder="1" applyAlignment="1" applyProtection="1">
      <alignment horizontal="left" wrapText="1"/>
      <protection hidden="1"/>
    </xf>
    <xf numFmtId="3" fontId="10" fillId="23" borderId="43" xfId="0" applyNumberFormat="1" applyFont="1" applyFill="1" applyBorder="1" applyAlignment="1" applyProtection="1">
      <alignment horizontal="left"/>
      <protection hidden="1"/>
    </xf>
    <xf numFmtId="3" fontId="10" fillId="23" borderId="43" xfId="0" applyNumberFormat="1" applyFont="1" applyFill="1" applyBorder="1" applyAlignment="1" applyProtection="1">
      <alignment horizontal="left" wrapText="1"/>
      <protection hidden="1"/>
    </xf>
    <xf numFmtId="3" fontId="10" fillId="23" borderId="43" xfId="0" applyNumberFormat="1" applyFont="1" applyFill="1" applyBorder="1" applyAlignment="1" applyProtection="1">
      <protection hidden="1"/>
    </xf>
    <xf numFmtId="3" fontId="10" fillId="22" borderId="79" xfId="0" applyNumberFormat="1" applyFont="1" applyFill="1" applyBorder="1" applyAlignment="1" applyProtection="1">
      <alignment vertical="center"/>
      <protection hidden="1"/>
    </xf>
    <xf numFmtId="0" fontId="10" fillId="26" borderId="80" xfId="0" applyFont="1" applyFill="1" applyBorder="1" applyAlignment="1" applyProtection="1">
      <alignment horizontal="left" wrapText="1"/>
      <protection hidden="1"/>
    </xf>
    <xf numFmtId="3" fontId="10" fillId="22" borderId="26" xfId="0" applyNumberFormat="1" applyFont="1" applyFill="1" applyBorder="1" applyAlignment="1" applyProtection="1">
      <alignment vertical="center"/>
      <protection hidden="1"/>
    </xf>
    <xf numFmtId="3" fontId="10" fillId="22" borderId="18" xfId="0" applyNumberFormat="1" applyFont="1" applyFill="1" applyBorder="1" applyProtection="1">
      <protection hidden="1"/>
    </xf>
    <xf numFmtId="3" fontId="10" fillId="22" borderId="43" xfId="0" applyNumberFormat="1" applyFont="1" applyFill="1" applyBorder="1" applyAlignment="1" applyProtection="1">
      <alignment vertical="center"/>
      <protection hidden="1"/>
    </xf>
    <xf numFmtId="0" fontId="10" fillId="22" borderId="102" xfId="0" applyFont="1" applyFill="1" applyBorder="1" applyAlignment="1" applyProtection="1">
      <alignment horizontal="left"/>
      <protection hidden="1"/>
    </xf>
    <xf numFmtId="0" fontId="10" fillId="26" borderId="42" xfId="0" applyFont="1" applyFill="1" applyBorder="1" applyAlignment="1" applyProtection="1">
      <alignment horizontal="left" wrapText="1"/>
      <protection hidden="1"/>
    </xf>
    <xf numFmtId="3" fontId="10" fillId="22" borderId="43" xfId="0" applyNumberFormat="1" applyFont="1" applyFill="1" applyBorder="1" applyProtection="1">
      <protection hidden="1"/>
    </xf>
    <xf numFmtId="49" fontId="8" fillId="26" borderId="47" xfId="0" applyNumberFormat="1" applyFont="1" applyFill="1" applyBorder="1" applyAlignment="1" applyProtection="1">
      <alignment horizontal="left"/>
      <protection hidden="1"/>
    </xf>
    <xf numFmtId="3" fontId="10" fillId="33" borderId="79" xfId="0" applyNumberFormat="1" applyFont="1" applyFill="1" applyBorder="1" applyAlignment="1" applyProtection="1">
      <protection hidden="1"/>
    </xf>
    <xf numFmtId="3" fontId="10" fillId="33" borderId="79" xfId="0" applyNumberFormat="1" applyFont="1" applyFill="1" applyBorder="1" applyAlignment="1" applyProtection="1">
      <alignment horizontal="left" wrapText="1"/>
      <protection hidden="1"/>
    </xf>
    <xf numFmtId="4" fontId="10" fillId="33" borderId="79" xfId="0" applyNumberFormat="1" applyFont="1" applyFill="1" applyBorder="1" applyAlignment="1" applyProtection="1">
      <protection hidden="1"/>
    </xf>
    <xf numFmtId="0" fontId="10" fillId="33" borderId="0" xfId="0" applyFont="1" applyFill="1" applyBorder="1" applyProtection="1">
      <protection hidden="1"/>
    </xf>
    <xf numFmtId="0" fontId="10" fillId="33" borderId="0" xfId="0" applyFont="1" applyFill="1" applyProtection="1">
      <protection hidden="1"/>
    </xf>
    <xf numFmtId="3" fontId="10" fillId="33" borderId="102" xfId="0" applyNumberFormat="1" applyFont="1" applyFill="1" applyBorder="1" applyAlignment="1" applyProtection="1">
      <alignment horizontal="left"/>
      <protection hidden="1"/>
    </xf>
    <xf numFmtId="3" fontId="10" fillId="33" borderId="43" xfId="0" applyNumberFormat="1" applyFont="1" applyFill="1" applyBorder="1" applyAlignment="1" applyProtection="1">
      <alignment horizontal="left" wrapText="1"/>
      <protection hidden="1"/>
    </xf>
    <xf numFmtId="168" fontId="10" fillId="33" borderId="43" xfId="0" applyNumberFormat="1" applyFont="1" applyFill="1" applyBorder="1" applyAlignment="1" applyProtection="1">
      <protection hidden="1"/>
    </xf>
    <xf numFmtId="4" fontId="10" fillId="33" borderId="43" xfId="0" applyNumberFormat="1" applyFont="1" applyFill="1" applyBorder="1" applyAlignment="1" applyProtection="1">
      <protection hidden="1"/>
    </xf>
    <xf numFmtId="168" fontId="10" fillId="33" borderId="0" xfId="0" applyNumberFormat="1" applyFont="1" applyFill="1" applyBorder="1" applyProtection="1">
      <protection hidden="1"/>
    </xf>
    <xf numFmtId="0" fontId="10" fillId="33" borderId="1" xfId="0" applyFont="1" applyFill="1" applyBorder="1" applyProtection="1">
      <protection hidden="1"/>
    </xf>
    <xf numFmtId="3" fontId="10" fillId="22" borderId="48" xfId="0" applyNumberFormat="1" applyFont="1" applyFill="1" applyBorder="1" applyAlignment="1" applyProtection="1">
      <alignment vertical="center"/>
      <protection hidden="1"/>
    </xf>
    <xf numFmtId="3" fontId="10" fillId="22" borderId="80" xfId="0" applyNumberFormat="1" applyFont="1" applyFill="1" applyBorder="1" applyAlignment="1" applyProtection="1">
      <alignment vertical="center"/>
      <protection hidden="1"/>
    </xf>
    <xf numFmtId="168" fontId="10" fillId="22" borderId="18" xfId="0" applyNumberFormat="1" applyFont="1" applyFill="1" applyBorder="1" applyAlignment="1" applyProtection="1">
      <alignment vertical="center"/>
      <protection hidden="1"/>
    </xf>
    <xf numFmtId="4" fontId="10" fillId="22" borderId="18" xfId="0" applyNumberFormat="1" applyFont="1" applyFill="1" applyBorder="1" applyAlignment="1" applyProtection="1">
      <alignment vertical="center"/>
      <protection hidden="1"/>
    </xf>
    <xf numFmtId="168" fontId="10" fillId="22" borderId="0" xfId="0" applyNumberFormat="1" applyFont="1" applyFill="1" applyBorder="1" applyProtection="1">
      <protection hidden="1"/>
    </xf>
    <xf numFmtId="3" fontId="10" fillId="22" borderId="102" xfId="0" applyNumberFormat="1" applyFont="1" applyFill="1" applyBorder="1" applyAlignment="1" applyProtection="1">
      <alignment vertical="center"/>
      <protection hidden="1"/>
    </xf>
    <xf numFmtId="3" fontId="10" fillId="22" borderId="42" xfId="0" applyNumberFormat="1" applyFont="1" applyFill="1" applyBorder="1" applyProtection="1">
      <protection hidden="1"/>
    </xf>
    <xf numFmtId="168" fontId="10" fillId="22" borderId="43" xfId="0" applyNumberFormat="1" applyFont="1" applyFill="1" applyBorder="1" applyProtection="1">
      <protection hidden="1"/>
    </xf>
    <xf numFmtId="4" fontId="10" fillId="22" borderId="43" xfId="0" applyNumberFormat="1" applyFont="1" applyFill="1" applyBorder="1" applyProtection="1">
      <protection hidden="1"/>
    </xf>
    <xf numFmtId="49" fontId="9" fillId="26" borderId="0" xfId="0" applyNumberFormat="1" applyFont="1" applyFill="1" applyAlignment="1" applyProtection="1">
      <alignment horizontal="right"/>
      <protection hidden="1"/>
    </xf>
    <xf numFmtId="0" fontId="9" fillId="26" borderId="0" xfId="0" applyFont="1" applyFill="1" applyAlignment="1" applyProtection="1">
      <alignment horizontal="left"/>
      <protection hidden="1"/>
    </xf>
    <xf numFmtId="3" fontId="22" fillId="26" borderId="0" xfId="0" applyNumberFormat="1" applyFont="1" applyFill="1" applyProtection="1">
      <protection hidden="1"/>
    </xf>
    <xf numFmtId="0" fontId="10" fillId="22" borderId="0" xfId="0" applyFont="1" applyFill="1" applyAlignment="1" applyProtection="1">
      <protection hidden="1"/>
    </xf>
    <xf numFmtId="3" fontId="10" fillId="22" borderId="0" xfId="0" applyNumberFormat="1" applyFont="1" applyFill="1" applyAlignment="1" applyProtection="1">
      <protection hidden="1"/>
    </xf>
    <xf numFmtId="49" fontId="8" fillId="26" borderId="0" xfId="0" applyNumberFormat="1" applyFont="1" applyFill="1" applyBorder="1" applyAlignment="1" applyProtection="1">
      <alignment horizontal="left"/>
      <protection hidden="1"/>
    </xf>
    <xf numFmtId="49" fontId="12" fillId="26" borderId="0" xfId="0" applyNumberFormat="1" applyFont="1" applyFill="1" applyAlignment="1" applyProtection="1">
      <alignment horizontal="center"/>
      <protection hidden="1"/>
    </xf>
    <xf numFmtId="3" fontId="12" fillId="22" borderId="0" xfId="0" applyNumberFormat="1" applyFont="1" applyFill="1" applyAlignment="1" applyProtection="1">
      <protection hidden="1"/>
    </xf>
    <xf numFmtId="0" fontId="12" fillId="22" borderId="0" xfId="0" applyFont="1" applyFill="1" applyAlignment="1" applyProtection="1">
      <protection hidden="1"/>
    </xf>
    <xf numFmtId="0" fontId="12" fillId="26" borderId="97" xfId="7" applyFont="1" applyFill="1" applyBorder="1"/>
    <xf numFmtId="0" fontId="12" fillId="26" borderId="97" xfId="7" applyFont="1" applyFill="1" applyBorder="1" applyAlignment="1">
      <alignment horizontal="center"/>
    </xf>
    <xf numFmtId="0" fontId="31" fillId="26" borderId="97" xfId="7" applyFont="1" applyFill="1" applyBorder="1" applyAlignment="1">
      <alignment horizontal="center"/>
    </xf>
    <xf numFmtId="3" fontId="12" fillId="26" borderId="97" xfId="10" applyNumberFormat="1" applyFont="1" applyFill="1" applyBorder="1" applyAlignment="1">
      <alignment horizontal="center"/>
    </xf>
    <xf numFmtId="3" fontId="31" fillId="26" borderId="97" xfId="10" applyNumberFormat="1" applyFont="1" applyFill="1" applyBorder="1" applyAlignment="1">
      <alignment horizontal="center"/>
    </xf>
    <xf numFmtId="4" fontId="12" fillId="26" borderId="97" xfId="10" applyNumberFormat="1" applyFont="1" applyFill="1" applyBorder="1" applyAlignment="1">
      <alignment horizontal="center"/>
    </xf>
    <xf numFmtId="0" fontId="12" fillId="26" borderId="98" xfId="7" applyFont="1" applyFill="1" applyBorder="1" applyAlignment="1">
      <alignment horizontal="center" vertical="center" wrapText="1"/>
    </xf>
    <xf numFmtId="0" fontId="31" fillId="26" borderId="98" xfId="7" applyFont="1" applyFill="1" applyBorder="1" applyAlignment="1">
      <alignment horizontal="center" vertical="center" wrapText="1"/>
    </xf>
    <xf numFmtId="3" fontId="12" fillId="26" borderId="98" xfId="7" applyNumberFormat="1" applyFont="1" applyFill="1" applyBorder="1" applyAlignment="1">
      <alignment horizontal="center" vertical="center" wrapText="1"/>
    </xf>
    <xf numFmtId="3" fontId="31" fillId="26" borderId="98" xfId="7" applyNumberFormat="1" applyFont="1" applyFill="1" applyBorder="1" applyAlignment="1">
      <alignment horizontal="center" vertical="center" wrapText="1"/>
    </xf>
    <xf numFmtId="3" fontId="12" fillId="26" borderId="98" xfId="7" applyNumberFormat="1" applyFont="1" applyFill="1" applyBorder="1" applyAlignment="1">
      <alignment horizontal="center" vertical="center" wrapText="1"/>
    </xf>
    <xf numFmtId="4" fontId="12" fillId="26" borderId="98" xfId="7" applyNumberFormat="1" applyFont="1" applyFill="1" applyBorder="1" applyAlignment="1">
      <alignment horizontal="center" vertical="center" wrapText="1"/>
    </xf>
    <xf numFmtId="0" fontId="12" fillId="26" borderId="101" xfId="7" applyFont="1" applyFill="1" applyBorder="1" applyAlignment="1">
      <alignment horizontal="center" vertical="center" wrapText="1"/>
    </xf>
    <xf numFmtId="0" fontId="31" fillId="26" borderId="99" xfId="7" applyFont="1" applyFill="1" applyBorder="1" applyAlignment="1">
      <alignment horizontal="center" vertical="center" wrapText="1"/>
    </xf>
    <xf numFmtId="3" fontId="12" fillId="26" borderId="99" xfId="7" applyNumberFormat="1" applyFont="1" applyFill="1" applyBorder="1" applyAlignment="1">
      <alignment horizontal="center" vertical="center" wrapText="1"/>
    </xf>
    <xf numFmtId="3" fontId="31" fillId="26" borderId="99" xfId="7" applyNumberFormat="1" applyFont="1" applyFill="1" applyBorder="1" applyAlignment="1">
      <alignment horizontal="center" vertical="center" wrapText="1"/>
    </xf>
    <xf numFmtId="0" fontId="12" fillId="26" borderId="99" xfId="7" applyFont="1" applyFill="1" applyBorder="1" applyAlignment="1">
      <alignment horizontal="center" vertical="center" wrapText="1"/>
    </xf>
    <xf numFmtId="3" fontId="12" fillId="26" borderId="111" xfId="7" applyNumberFormat="1" applyFont="1" applyFill="1" applyBorder="1" applyAlignment="1">
      <alignment vertical="center" wrapText="1"/>
    </xf>
    <xf numFmtId="3" fontId="12" fillId="26" borderId="112" xfId="7" applyNumberFormat="1" applyFont="1" applyFill="1" applyBorder="1" applyAlignment="1">
      <alignment vertical="center" wrapText="1"/>
    </xf>
    <xf numFmtId="4" fontId="12" fillId="26" borderId="113" xfId="7" applyNumberFormat="1" applyFont="1" applyFill="1" applyBorder="1" applyAlignment="1">
      <alignment vertical="center" wrapText="1"/>
    </xf>
    <xf numFmtId="0" fontId="12" fillId="26" borderId="97" xfId="7" applyFont="1" applyFill="1" applyBorder="1" applyAlignment="1">
      <alignment horizontal="center" vertical="center" wrapText="1"/>
    </xf>
    <xf numFmtId="0" fontId="12" fillId="26" borderId="100" xfId="7" applyFont="1" applyFill="1" applyBorder="1" applyAlignment="1">
      <alignment horizontal="center" vertical="center"/>
    </xf>
    <xf numFmtId="0" fontId="12" fillId="26" borderId="100" xfId="7" applyFont="1" applyFill="1" applyBorder="1" applyAlignment="1">
      <alignment vertical="center"/>
    </xf>
    <xf numFmtId="3" fontId="12" fillId="26" borderId="100" xfId="7" applyNumberFormat="1" applyFont="1" applyFill="1" applyBorder="1" applyAlignment="1">
      <alignment vertical="center"/>
    </xf>
    <xf numFmtId="0" fontId="12" fillId="26" borderId="98" xfId="7" applyFont="1" applyFill="1" applyBorder="1" applyAlignment="1">
      <alignment horizontal="center" vertical="center"/>
    </xf>
    <xf numFmtId="0" fontId="12" fillId="26" borderId="98" xfId="7" applyFont="1" applyFill="1" applyBorder="1" applyAlignment="1">
      <alignment vertical="center"/>
    </xf>
    <xf numFmtId="3" fontId="12" fillId="26" borderId="98" xfId="7" applyNumberFormat="1" applyFont="1" applyFill="1" applyBorder="1" applyAlignment="1">
      <alignment vertical="center"/>
    </xf>
    <xf numFmtId="4" fontId="12" fillId="26" borderId="98" xfId="7" applyNumberFormat="1" applyFont="1" applyFill="1" applyBorder="1" applyAlignment="1">
      <alignment vertical="center"/>
    </xf>
    <xf numFmtId="168" fontId="12" fillId="26" borderId="100" xfId="7" applyNumberFormat="1" applyFont="1" applyFill="1" applyBorder="1" applyAlignment="1">
      <alignment vertical="center"/>
    </xf>
    <xf numFmtId="168" fontId="12" fillId="26" borderId="98" xfId="7" applyNumberFormat="1" applyFont="1" applyFill="1" applyBorder="1" applyAlignment="1">
      <alignment vertical="center"/>
    </xf>
    <xf numFmtId="3" fontId="12" fillId="26" borderId="100" xfId="7" applyNumberFormat="1" applyFont="1" applyFill="1" applyBorder="1" applyAlignment="1">
      <alignment horizontal="center" vertical="center"/>
    </xf>
    <xf numFmtId="168" fontId="12" fillId="26" borderId="100" xfId="7" applyNumberFormat="1" applyFont="1" applyFill="1" applyBorder="1" applyAlignment="1">
      <alignment horizontal="right" vertical="center"/>
    </xf>
    <xf numFmtId="3" fontId="12" fillId="26" borderId="98" xfId="7" applyNumberFormat="1" applyFont="1" applyFill="1" applyBorder="1" applyAlignment="1">
      <alignment horizontal="right" vertical="center"/>
    </xf>
    <xf numFmtId="0" fontId="12" fillId="26" borderId="98" xfId="7" quotePrefix="1" applyFont="1" applyFill="1" applyBorder="1" applyAlignment="1">
      <alignment vertical="center"/>
    </xf>
    <xf numFmtId="49" fontId="12" fillId="26" borderId="98" xfId="7" applyNumberFormat="1" applyFont="1" applyFill="1" applyBorder="1" applyAlignment="1">
      <alignment horizontal="center" vertical="center"/>
    </xf>
    <xf numFmtId="3" fontId="12" fillId="26" borderId="98" xfId="7" applyNumberFormat="1" applyFont="1" applyFill="1" applyBorder="1" applyAlignment="1">
      <alignment horizontal="center" vertical="center"/>
    </xf>
    <xf numFmtId="168" fontId="12" fillId="26" borderId="98" xfId="7" applyNumberFormat="1" applyFont="1" applyFill="1" applyBorder="1" applyAlignment="1">
      <alignment horizontal="right" vertical="center"/>
    </xf>
    <xf numFmtId="0" fontId="12" fillId="26" borderId="99" xfId="7" applyFont="1" applyFill="1" applyBorder="1" applyAlignment="1">
      <alignment horizontal="center" vertical="center"/>
    </xf>
    <xf numFmtId="0" fontId="12" fillId="26" borderId="99" xfId="7" applyFont="1" applyFill="1" applyBorder="1" applyAlignment="1">
      <alignment vertical="center"/>
    </xf>
    <xf numFmtId="3" fontId="12" fillId="26" borderId="99" xfId="7" applyNumberFormat="1" applyFont="1" applyFill="1" applyBorder="1" applyAlignment="1">
      <alignment vertical="center"/>
    </xf>
    <xf numFmtId="4" fontId="12" fillId="26" borderId="99" xfId="7" applyNumberFormat="1" applyFont="1" applyFill="1" applyBorder="1" applyAlignment="1">
      <alignment vertical="center"/>
    </xf>
    <xf numFmtId="49" fontId="23" fillId="26" borderId="0" xfId="0" applyNumberFormat="1" applyFont="1" applyFill="1" applyAlignment="1" applyProtection="1">
      <alignment vertical="top"/>
      <protection hidden="1"/>
    </xf>
    <xf numFmtId="0" fontId="10" fillId="26" borderId="0" xfId="0" applyFont="1" applyFill="1" applyAlignment="1" applyProtection="1">
      <alignment horizontal="left"/>
      <protection locked="0"/>
    </xf>
    <xf numFmtId="0" fontId="10" fillId="26" borderId="0" xfId="0" applyFont="1" applyFill="1" applyAlignment="1" applyProtection="1">
      <alignment horizontal="left" vertical="top"/>
      <protection locked="0"/>
    </xf>
    <xf numFmtId="4" fontId="26" fillId="22" borderId="0" xfId="0" applyNumberFormat="1" applyFont="1" applyFill="1" applyBorder="1" applyAlignment="1" applyProtection="1">
      <alignment horizontal="center"/>
      <protection hidden="1"/>
    </xf>
    <xf numFmtId="168" fontId="81" fillId="0" borderId="18" xfId="0" applyNumberFormat="1" applyFont="1" applyFill="1" applyBorder="1" applyAlignment="1" applyProtection="1">
      <alignment horizontal="right"/>
      <protection hidden="1"/>
    </xf>
    <xf numFmtId="168" fontId="81" fillId="2" borderId="18" xfId="0" applyNumberFormat="1" applyFont="1" applyFill="1" applyBorder="1" applyAlignment="1" applyProtection="1">
      <alignment horizontal="right"/>
      <protection hidden="1"/>
    </xf>
    <xf numFmtId="168" fontId="81" fillId="22" borderId="18" xfId="0" applyNumberFormat="1" applyFont="1" applyFill="1" applyBorder="1" applyAlignment="1" applyProtection="1">
      <alignment horizontal="right"/>
      <protection hidden="1"/>
    </xf>
    <xf numFmtId="3" fontId="79" fillId="2" borderId="43" xfId="0" applyNumberFormat="1" applyFont="1" applyFill="1" applyBorder="1" applyProtection="1">
      <protection hidden="1"/>
    </xf>
    <xf numFmtId="168" fontId="79" fillId="2" borderId="43" xfId="0" applyNumberFormat="1" applyFont="1" applyFill="1" applyBorder="1" applyProtection="1">
      <protection hidden="1"/>
    </xf>
    <xf numFmtId="169" fontId="57" fillId="2" borderId="98" xfId="0" applyNumberFormat="1" applyFont="1" applyFill="1" applyBorder="1" applyProtection="1">
      <protection locked="0"/>
    </xf>
    <xf numFmtId="169" fontId="57" fillId="2" borderId="0" xfId="0" applyNumberFormat="1" applyFont="1" applyFill="1" applyBorder="1" applyProtection="1">
      <protection locked="0"/>
    </xf>
    <xf numFmtId="169" fontId="59" fillId="2" borderId="98" xfId="0" applyNumberFormat="1" applyFont="1" applyFill="1" applyBorder="1" applyProtection="1">
      <protection locked="0"/>
    </xf>
    <xf numFmtId="169" fontId="59" fillId="2" borderId="0" xfId="0" applyNumberFormat="1" applyFont="1" applyFill="1" applyBorder="1" applyProtection="1">
      <protection locked="0"/>
    </xf>
    <xf numFmtId="169" fontId="58" fillId="2" borderId="98" xfId="0" applyNumberFormat="1" applyFont="1" applyFill="1" applyBorder="1" applyProtection="1">
      <protection locked="0"/>
    </xf>
    <xf numFmtId="169" fontId="58" fillId="2" borderId="0" xfId="0" applyNumberFormat="1" applyFont="1" applyFill="1" applyBorder="1" applyProtection="1">
      <protection locked="0"/>
    </xf>
    <xf numFmtId="169" fontId="57" fillId="2" borderId="98" xfId="0" applyNumberFormat="1" applyFont="1" applyFill="1" applyBorder="1" applyAlignment="1" applyProtection="1">
      <alignment horizontal="center"/>
      <protection locked="0"/>
    </xf>
    <xf numFmtId="169" fontId="57" fillId="2" borderId="0" xfId="0" applyNumberFormat="1" applyFont="1" applyFill="1" applyBorder="1" applyAlignment="1" applyProtection="1">
      <alignment horizontal="center"/>
      <protection locked="0"/>
    </xf>
    <xf numFmtId="169" fontId="57" fillId="2" borderId="114" xfId="0" applyNumberFormat="1" applyFont="1" applyFill="1" applyBorder="1" applyAlignment="1" applyProtection="1">
      <alignment horizontal="center"/>
      <protection locked="0"/>
    </xf>
    <xf numFmtId="169" fontId="57" fillId="2" borderId="1" xfId="0" applyNumberFormat="1" applyFont="1" applyFill="1" applyBorder="1" applyAlignment="1" applyProtection="1">
      <alignment horizontal="center"/>
      <protection locked="0"/>
    </xf>
    <xf numFmtId="169" fontId="60" fillId="17" borderId="115" xfId="0" applyNumberFormat="1" applyFont="1" applyFill="1" applyBorder="1" applyAlignment="1">
      <alignment horizontal="center" wrapText="1"/>
    </xf>
    <xf numFmtId="169" fontId="60" fillId="17" borderId="80" xfId="0" applyNumberFormat="1" applyFont="1" applyFill="1" applyBorder="1" applyAlignment="1">
      <alignment horizontal="center" wrapText="1"/>
    </xf>
    <xf numFmtId="169" fontId="60" fillId="17" borderId="114" xfId="0" applyNumberFormat="1" applyFont="1" applyFill="1" applyBorder="1" applyAlignment="1">
      <alignment horizontal="center" vertical="center" wrapText="1"/>
    </xf>
    <xf numFmtId="169" fontId="60" fillId="17" borderId="42" xfId="0" applyNumberFormat="1" applyFont="1" applyFill="1" applyBorder="1" applyAlignment="1" applyProtection="1">
      <alignment horizontal="center" vertical="center" wrapText="1"/>
    </xf>
    <xf numFmtId="169" fontId="62" fillId="2" borderId="116" xfId="0" applyNumberFormat="1" applyFont="1" applyFill="1" applyBorder="1" applyAlignment="1" applyProtection="1">
      <alignment horizontal="center" vertical="center" wrapText="1"/>
      <protection locked="0"/>
    </xf>
    <xf numFmtId="169" fontId="62" fillId="2" borderId="71" xfId="0" applyNumberFormat="1" applyFont="1" applyFill="1" applyBorder="1" applyAlignment="1" applyProtection="1">
      <alignment horizontal="center" vertical="center" wrapText="1"/>
      <protection locked="0"/>
    </xf>
    <xf numFmtId="169" fontId="62" fillId="2" borderId="98" xfId="0" applyNumberFormat="1" applyFont="1" applyFill="1" applyBorder="1" applyAlignment="1" applyProtection="1">
      <alignment horizontal="center" vertical="center" wrapText="1"/>
      <protection locked="0"/>
    </xf>
    <xf numFmtId="169" fontId="62" fillId="2" borderId="26" xfId="0" applyNumberFormat="1" applyFont="1" applyFill="1" applyBorder="1" applyAlignment="1" applyProtection="1">
      <alignment horizontal="center" vertical="center" wrapText="1"/>
      <protection locked="0"/>
    </xf>
    <xf numFmtId="169" fontId="60" fillId="18" borderId="117" xfId="0" applyNumberFormat="1" applyFont="1" applyFill="1" applyBorder="1" applyAlignment="1" applyProtection="1"/>
    <xf numFmtId="169" fontId="60" fillId="18" borderId="118" xfId="0" applyNumberFormat="1" applyFont="1" applyFill="1" applyBorder="1" applyAlignment="1" applyProtection="1"/>
    <xf numFmtId="169" fontId="60" fillId="18" borderId="98" xfId="0" applyNumberFormat="1" applyFont="1" applyFill="1" applyBorder="1" applyAlignment="1" applyProtection="1"/>
    <xf numFmtId="169" fontId="60" fillId="18" borderId="26" xfId="0" applyNumberFormat="1" applyFont="1" applyFill="1" applyBorder="1" applyAlignment="1" applyProtection="1"/>
    <xf numFmtId="169" fontId="60" fillId="18" borderId="119" xfId="0" applyNumberFormat="1" applyFont="1" applyFill="1" applyBorder="1" applyAlignment="1" applyProtection="1"/>
    <xf numFmtId="169" fontId="60" fillId="18" borderId="30" xfId="0" applyNumberFormat="1" applyFont="1" applyFill="1" applyBorder="1" applyAlignment="1" applyProtection="1"/>
    <xf numFmtId="169" fontId="69" fillId="2" borderId="120" xfId="0" applyNumberFormat="1" applyFont="1" applyFill="1" applyBorder="1" applyAlignment="1" applyProtection="1">
      <alignment horizontal="center"/>
      <protection locked="0"/>
    </xf>
    <xf numFmtId="169" fontId="69" fillId="2" borderId="81" xfId="0" applyNumberFormat="1" applyFont="1" applyFill="1" applyBorder="1" applyAlignment="1" applyProtection="1">
      <alignment horizontal="center"/>
      <protection locked="0"/>
    </xf>
    <xf numFmtId="169" fontId="59" fillId="3" borderId="121" xfId="0" applyNumberFormat="1" applyFont="1" applyFill="1" applyBorder="1" applyAlignment="1" applyProtection="1">
      <alignment vertical="center"/>
    </xf>
    <xf numFmtId="169" fontId="59" fillId="3" borderId="31" xfId="0" applyNumberFormat="1" applyFont="1" applyFill="1" applyBorder="1" applyAlignment="1" applyProtection="1">
      <alignment vertical="center"/>
    </xf>
    <xf numFmtId="169" fontId="59" fillId="2" borderId="121" xfId="0" applyNumberFormat="1" applyFont="1" applyFill="1" applyBorder="1" applyAlignment="1" applyProtection="1">
      <alignment vertical="center"/>
    </xf>
    <xf numFmtId="169" fontId="59" fillId="2" borderId="31" xfId="0" applyNumberFormat="1" applyFont="1" applyFill="1" applyBorder="1" applyAlignment="1" applyProtection="1">
      <alignment vertical="center"/>
    </xf>
    <xf numFmtId="169" fontId="59" fillId="3" borderId="121" xfId="0" applyNumberFormat="1" applyFont="1" applyFill="1" applyBorder="1" applyAlignment="1" applyProtection="1"/>
    <xf numFmtId="169" fontId="59" fillId="3" borderId="31" xfId="0" applyNumberFormat="1" applyFont="1" applyFill="1" applyBorder="1" applyAlignment="1" applyProtection="1"/>
    <xf numFmtId="169" fontId="59" fillId="2" borderId="121" xfId="0" applyNumberFormat="1" applyFont="1" applyFill="1" applyBorder="1" applyAlignment="1" applyProtection="1"/>
    <xf numFmtId="169" fontId="59" fillId="2" borderId="31" xfId="0" applyNumberFormat="1" applyFont="1" applyFill="1" applyBorder="1" applyAlignment="1" applyProtection="1"/>
    <xf numFmtId="169" fontId="59" fillId="2" borderId="121" xfId="0" applyNumberFormat="1" applyFont="1" applyFill="1" applyBorder="1" applyAlignment="1" applyProtection="1">
      <protection locked="0"/>
    </xf>
    <xf numFmtId="169" fontId="59" fillId="2" borderId="31" xfId="0" applyNumberFormat="1" applyFont="1" applyFill="1" applyBorder="1" applyAlignment="1" applyProtection="1">
      <protection locked="0"/>
    </xf>
    <xf numFmtId="169" fontId="66" fillId="2" borderId="122" xfId="0" applyNumberFormat="1" applyFont="1" applyFill="1" applyBorder="1" applyAlignment="1" applyProtection="1">
      <alignment horizontal="right"/>
      <protection locked="0"/>
    </xf>
    <xf numFmtId="169" fontId="66" fillId="2" borderId="123" xfId="0" applyNumberFormat="1" applyFont="1" applyFill="1" applyBorder="1" applyAlignment="1" applyProtection="1">
      <alignment horizontal="right"/>
      <protection locked="0"/>
    </xf>
    <xf numFmtId="169" fontId="57" fillId="2" borderId="117" xfId="0" applyNumberFormat="1" applyFont="1" applyFill="1" applyBorder="1" applyAlignment="1" applyProtection="1">
      <alignment horizontal="center"/>
      <protection locked="0"/>
    </xf>
    <xf numFmtId="169" fontId="57" fillId="2" borderId="118" xfId="0" applyNumberFormat="1" applyFont="1" applyFill="1" applyBorder="1" applyAlignment="1" applyProtection="1">
      <alignment horizontal="center"/>
      <protection locked="0"/>
    </xf>
    <xf numFmtId="169" fontId="69" fillId="2" borderId="114" xfId="0" applyNumberFormat="1" applyFont="1" applyFill="1" applyBorder="1" applyAlignment="1" applyProtection="1">
      <alignment horizontal="right"/>
      <protection locked="0"/>
    </xf>
    <xf numFmtId="169" fontId="69" fillId="2" borderId="42" xfId="0" applyNumberFormat="1" applyFont="1" applyFill="1" applyBorder="1" applyAlignment="1" applyProtection="1">
      <alignment horizontal="right"/>
      <protection locked="0"/>
    </xf>
    <xf numFmtId="169" fontId="60" fillId="29" borderId="116" xfId="0" applyNumberFormat="1" applyFont="1" applyFill="1" applyBorder="1" applyAlignment="1">
      <alignment horizontal="center" vertical="center" wrapText="1"/>
    </xf>
    <xf numFmtId="169" fontId="60" fillId="29" borderId="71" xfId="0" applyNumberFormat="1" applyFont="1" applyFill="1" applyBorder="1" applyAlignment="1">
      <alignment horizontal="center" vertical="center" wrapText="1"/>
    </xf>
    <xf numFmtId="169" fontId="62" fillId="22" borderId="98" xfId="0" applyNumberFormat="1" applyFont="1" applyFill="1" applyBorder="1" applyAlignment="1" applyProtection="1">
      <alignment horizontal="center" vertical="center" wrapText="1"/>
      <protection locked="0"/>
    </xf>
    <xf numFmtId="169" fontId="60" fillId="17" borderId="124" xfId="0" applyNumberFormat="1" applyFont="1" applyFill="1" applyBorder="1" applyAlignment="1" applyProtection="1"/>
    <xf numFmtId="169" fontId="60" fillId="17" borderId="24" xfId="0" applyNumberFormat="1" applyFont="1" applyFill="1" applyBorder="1" applyAlignment="1" applyProtection="1"/>
    <xf numFmtId="169" fontId="68" fillId="2" borderId="98" xfId="0" applyNumberFormat="1" applyFont="1" applyFill="1" applyBorder="1" applyAlignment="1" applyProtection="1">
      <alignment horizontal="right"/>
      <protection locked="0"/>
    </xf>
    <xf numFmtId="169" fontId="68" fillId="2" borderId="26" xfId="0" applyNumberFormat="1" applyFont="1" applyFill="1" applyBorder="1" applyAlignment="1" applyProtection="1">
      <alignment horizontal="right"/>
      <protection locked="0"/>
    </xf>
    <xf numFmtId="169" fontId="67" fillId="2" borderId="98" xfId="0" applyNumberFormat="1" applyFont="1" applyFill="1" applyBorder="1" applyAlignment="1" applyProtection="1">
      <alignment horizontal="right"/>
    </xf>
    <xf numFmtId="169" fontId="67" fillId="2" borderId="26" xfId="0" applyNumberFormat="1" applyFont="1" applyFill="1" applyBorder="1" applyAlignment="1" applyProtection="1">
      <alignment horizontal="right"/>
    </xf>
    <xf numFmtId="169" fontId="67" fillId="19" borderId="98" xfId="0" applyNumberFormat="1" applyFont="1" applyFill="1" applyBorder="1" applyAlignment="1" applyProtection="1">
      <alignment horizontal="right"/>
    </xf>
    <xf numFmtId="169" fontId="67" fillId="19" borderId="26" xfId="0" applyNumberFormat="1" applyFont="1" applyFill="1" applyBorder="1" applyAlignment="1" applyProtection="1">
      <alignment horizontal="right"/>
    </xf>
    <xf numFmtId="169" fontId="66" fillId="2" borderId="119" xfId="0" applyNumberFormat="1" applyFont="1" applyFill="1" applyBorder="1" applyAlignment="1" applyProtection="1">
      <alignment horizontal="right"/>
      <protection locked="0"/>
    </xf>
    <xf numFmtId="169" fontId="66" fillId="2" borderId="30" xfId="0" applyNumberFormat="1" applyFont="1" applyFill="1" applyBorder="1" applyAlignment="1" applyProtection="1">
      <alignment horizontal="right"/>
      <protection locked="0"/>
    </xf>
    <xf numFmtId="169" fontId="60" fillId="17" borderId="119" xfId="0" applyNumberFormat="1" applyFont="1" applyFill="1" applyBorder="1" applyAlignment="1" applyProtection="1">
      <alignment horizontal="right"/>
    </xf>
    <xf numFmtId="169" fontId="60" fillId="17" borderId="30" xfId="0" applyNumberFormat="1" applyFont="1" applyFill="1" applyBorder="1" applyAlignment="1" applyProtection="1">
      <alignment horizontal="right"/>
    </xf>
    <xf numFmtId="169" fontId="61" fillId="2" borderId="98" xfId="0" applyNumberFormat="1" applyFont="1" applyFill="1" applyBorder="1" applyAlignment="1" applyProtection="1">
      <alignment horizontal="center"/>
      <protection locked="0"/>
    </xf>
    <xf numFmtId="169" fontId="61" fillId="2" borderId="26" xfId="0" applyNumberFormat="1" applyFont="1" applyFill="1" applyBorder="1" applyAlignment="1" applyProtection="1">
      <alignment horizontal="center"/>
      <protection locked="0"/>
    </xf>
    <xf numFmtId="169" fontId="69" fillId="19" borderId="121" xfId="0" applyNumberFormat="1" applyFont="1" applyFill="1" applyBorder="1" applyAlignment="1" applyProtection="1"/>
    <xf numFmtId="169" fontId="69" fillId="19" borderId="31" xfId="0" applyNumberFormat="1" applyFont="1" applyFill="1" applyBorder="1" applyAlignment="1" applyProtection="1"/>
    <xf numFmtId="169" fontId="75" fillId="0" borderId="121" xfId="0" applyNumberFormat="1" applyFont="1" applyFill="1" applyBorder="1" applyAlignment="1" applyProtection="1">
      <alignment vertical="center"/>
      <protection locked="0"/>
    </xf>
    <xf numFmtId="169" fontId="75" fillId="0" borderId="31" xfId="0" applyNumberFormat="1" applyFont="1" applyFill="1" applyBorder="1" applyAlignment="1" applyProtection="1">
      <alignment vertical="center"/>
      <protection locked="0"/>
    </xf>
    <xf numFmtId="169" fontId="34" fillId="0" borderId="110" xfId="8" applyNumberFormat="1" applyFont="1" applyFill="1" applyBorder="1" applyAlignment="1" applyProtection="1">
      <alignment vertical="center"/>
      <protection locked="0"/>
    </xf>
    <xf numFmtId="169" fontId="34" fillId="0" borderId="125" xfId="8" applyNumberFormat="1" applyFont="1" applyFill="1" applyBorder="1" applyAlignment="1" applyProtection="1">
      <alignment vertical="center"/>
      <protection locked="0"/>
    </xf>
    <xf numFmtId="169" fontId="34" fillId="0" borderId="110" xfId="8" applyNumberFormat="1" applyFont="1" applyFill="1" applyBorder="1" applyAlignment="1" applyProtection="1">
      <alignment horizontal="right" vertical="center"/>
      <protection locked="0"/>
    </xf>
    <xf numFmtId="169" fontId="34" fillId="0" borderId="125" xfId="8" applyNumberFormat="1" applyFont="1" applyFill="1" applyBorder="1" applyAlignment="1" applyProtection="1">
      <alignment horizontal="right" vertical="center"/>
      <protection locked="0"/>
    </xf>
    <xf numFmtId="169" fontId="60" fillId="2" borderId="98" xfId="0" applyNumberFormat="1" applyFont="1" applyFill="1" applyBorder="1" applyAlignment="1" applyProtection="1">
      <alignment horizontal="center"/>
      <protection locked="0"/>
    </xf>
    <xf numFmtId="169" fontId="60" fillId="2" borderId="26" xfId="0" applyNumberFormat="1" applyFont="1" applyFill="1" applyBorder="1" applyAlignment="1" applyProtection="1">
      <alignment horizontal="center"/>
      <protection locked="0"/>
    </xf>
    <xf numFmtId="169" fontId="3" fillId="0" borderId="110" xfId="8" applyNumberFormat="1" applyFont="1" applyFill="1" applyBorder="1" applyAlignment="1" applyProtection="1">
      <alignment horizontal="right" vertical="center"/>
      <protection locked="0"/>
    </xf>
    <xf numFmtId="169" fontId="3" fillId="0" borderId="125" xfId="8" applyNumberFormat="1" applyFont="1" applyFill="1" applyBorder="1" applyAlignment="1" applyProtection="1">
      <alignment horizontal="right" vertical="center"/>
      <protection locked="0"/>
    </xf>
    <xf numFmtId="169" fontId="69" fillId="2" borderId="98" xfId="0" applyNumberFormat="1" applyFont="1" applyFill="1" applyBorder="1" applyAlignment="1" applyProtection="1">
      <alignment horizontal="right" vertical="center"/>
      <protection locked="0"/>
    </xf>
    <xf numFmtId="169" fontId="69" fillId="2" borderId="26" xfId="0" applyNumberFormat="1" applyFont="1" applyFill="1" applyBorder="1" applyAlignment="1" applyProtection="1">
      <alignment horizontal="right" vertical="center"/>
      <protection locked="0"/>
    </xf>
    <xf numFmtId="169" fontId="69" fillId="2" borderId="98" xfId="0" applyNumberFormat="1" applyFont="1" applyFill="1" applyBorder="1" applyAlignment="1" applyProtection="1">
      <alignment horizontal="right"/>
      <protection locked="0"/>
    </xf>
    <xf numFmtId="169" fontId="69" fillId="2" borderId="26" xfId="0" applyNumberFormat="1" applyFont="1" applyFill="1" applyBorder="1" applyAlignment="1" applyProtection="1">
      <alignment horizontal="right"/>
      <protection locked="0"/>
    </xf>
    <xf numFmtId="169" fontId="34" fillId="0" borderId="110" xfId="8" applyNumberFormat="1" applyFont="1" applyBorder="1" applyAlignment="1" applyProtection="1">
      <alignment horizontal="right" vertical="center"/>
      <protection locked="0"/>
    </xf>
    <xf numFmtId="169" fontId="34" fillId="0" borderId="125" xfId="8" applyNumberFormat="1" applyFont="1" applyBorder="1" applyAlignment="1" applyProtection="1">
      <alignment horizontal="right" vertical="center"/>
      <protection locked="0"/>
    </xf>
    <xf numFmtId="169" fontId="34" fillId="0" borderId="126" xfId="8" applyNumberFormat="1" applyFont="1" applyFill="1" applyBorder="1" applyAlignment="1" applyProtection="1">
      <alignment vertical="center"/>
      <protection locked="0"/>
    </xf>
    <xf numFmtId="169" fontId="34" fillId="0" borderId="127" xfId="8" applyNumberFormat="1" applyFont="1" applyFill="1" applyBorder="1" applyAlignment="1" applyProtection="1">
      <alignment vertical="center"/>
      <protection locked="0"/>
    </xf>
    <xf numFmtId="169" fontId="66" fillId="2" borderId="98" xfId="0" applyNumberFormat="1" applyFont="1" applyFill="1" applyBorder="1" applyAlignment="1" applyProtection="1">
      <alignment horizontal="right"/>
      <protection locked="0"/>
    </xf>
    <xf numFmtId="169" fontId="66" fillId="2" borderId="26" xfId="0" applyNumberFormat="1" applyFont="1" applyFill="1" applyBorder="1" applyAlignment="1" applyProtection="1">
      <alignment horizontal="right"/>
      <protection locked="0"/>
    </xf>
    <xf numFmtId="169" fontId="69" fillId="19" borderId="121" xfId="0" applyNumberFormat="1" applyFont="1" applyFill="1" applyBorder="1" applyAlignment="1" applyProtection="1">
      <alignment horizontal="right"/>
    </xf>
    <xf numFmtId="169" fontId="69" fillId="19" borderId="31" xfId="0" applyNumberFormat="1" applyFont="1" applyFill="1" applyBorder="1" applyAlignment="1" applyProtection="1">
      <alignment horizontal="right"/>
    </xf>
    <xf numFmtId="169" fontId="67" fillId="19" borderId="121" xfId="0" applyNumberFormat="1" applyFont="1" applyFill="1" applyBorder="1" applyAlignment="1" applyProtection="1"/>
    <xf numFmtId="169" fontId="67" fillId="19" borderId="31" xfId="0" applyNumberFormat="1" applyFont="1" applyFill="1" applyBorder="1" applyAlignment="1" applyProtection="1"/>
    <xf numFmtId="169" fontId="67" fillId="0" borderId="110" xfId="8" applyNumberFormat="1" applyFont="1" applyFill="1" applyBorder="1" applyAlignment="1" applyProtection="1">
      <alignment horizontal="right" vertical="center"/>
      <protection locked="0"/>
    </xf>
    <xf numFmtId="169" fontId="67" fillId="0" borderId="125" xfId="8" applyNumberFormat="1" applyFont="1" applyFill="1" applyBorder="1" applyAlignment="1" applyProtection="1">
      <alignment horizontal="right" vertical="center"/>
      <protection locked="0"/>
    </xf>
    <xf numFmtId="169" fontId="67" fillId="22" borderId="98" xfId="0" applyNumberFormat="1" applyFont="1" applyFill="1" applyBorder="1" applyAlignment="1" applyProtection="1">
      <protection locked="0"/>
    </xf>
    <xf numFmtId="169" fontId="67" fillId="22" borderId="26" xfId="0" applyNumberFormat="1" applyFont="1" applyFill="1" applyBorder="1" applyAlignment="1" applyProtection="1">
      <protection locked="0"/>
    </xf>
    <xf numFmtId="169" fontId="67" fillId="22" borderId="98" xfId="0" applyNumberFormat="1" applyFont="1" applyFill="1" applyBorder="1" applyAlignment="1" applyProtection="1">
      <alignment horizontal="right"/>
      <protection locked="0"/>
    </xf>
    <xf numFmtId="169" fontId="67" fillId="22" borderId="26" xfId="0" applyNumberFormat="1" applyFont="1" applyFill="1" applyBorder="1" applyAlignment="1" applyProtection="1">
      <alignment horizontal="right"/>
      <protection locked="0"/>
    </xf>
    <xf numFmtId="169" fontId="67" fillId="2" borderId="98" xfId="0" applyNumberFormat="1" applyFont="1" applyFill="1" applyBorder="1" applyAlignment="1" applyProtection="1">
      <protection locked="0"/>
    </xf>
    <xf numFmtId="169" fontId="67" fillId="2" borderId="26" xfId="0" applyNumberFormat="1" applyFont="1" applyFill="1" applyBorder="1" applyAlignment="1" applyProtection="1">
      <protection locked="0"/>
    </xf>
    <xf numFmtId="169" fontId="67" fillId="2" borderId="98" xfId="0" applyNumberFormat="1" applyFont="1" applyFill="1" applyBorder="1" applyAlignment="1" applyProtection="1">
      <alignment horizontal="right"/>
      <protection locked="0"/>
    </xf>
    <xf numFmtId="169" fontId="67" fillId="2" borderId="26" xfId="0" applyNumberFormat="1" applyFont="1" applyFill="1" applyBorder="1" applyAlignment="1" applyProtection="1">
      <alignment horizontal="right"/>
      <protection locked="0"/>
    </xf>
    <xf numFmtId="169" fontId="67" fillId="19" borderId="121" xfId="0" applyNumberFormat="1" applyFont="1" applyFill="1" applyBorder="1" applyAlignment="1" applyProtection="1">
      <alignment horizontal="right"/>
    </xf>
    <xf numFmtId="169" fontId="67" fillId="19" borderId="31" xfId="0" applyNumberFormat="1" applyFont="1" applyFill="1" applyBorder="1" applyAlignment="1" applyProtection="1">
      <alignment horizontal="right"/>
    </xf>
    <xf numFmtId="169" fontId="69" fillId="19" borderId="128" xfId="0" applyNumberFormat="1" applyFont="1" applyFill="1" applyBorder="1" applyAlignment="1" applyProtection="1"/>
    <xf numFmtId="169" fontId="69" fillId="19" borderId="33" xfId="0" applyNumberFormat="1" applyFont="1" applyFill="1" applyBorder="1" applyAlignment="1" applyProtection="1"/>
    <xf numFmtId="169" fontId="63" fillId="19" borderId="129" xfId="0" applyNumberFormat="1" applyFont="1" applyFill="1" applyBorder="1" applyAlignment="1" applyProtection="1"/>
    <xf numFmtId="169" fontId="63" fillId="19" borderId="35" xfId="0" applyNumberFormat="1" applyFont="1" applyFill="1" applyBorder="1" applyAlignment="1" applyProtection="1"/>
    <xf numFmtId="169" fontId="67" fillId="36" borderId="98" xfId="8" applyNumberFormat="1" applyFont="1" applyFill="1" applyBorder="1" applyAlignment="1" applyProtection="1">
      <alignment horizontal="right" vertical="center"/>
      <protection locked="0"/>
    </xf>
    <xf numFmtId="169" fontId="67" fillId="36" borderId="0" xfId="8" applyNumberFormat="1" applyFont="1" applyFill="1" applyBorder="1" applyAlignment="1" applyProtection="1">
      <alignment horizontal="right" vertical="center"/>
      <protection locked="0"/>
    </xf>
    <xf numFmtId="169" fontId="67" fillId="36" borderId="26" xfId="8" applyNumberFormat="1" applyFont="1" applyFill="1" applyBorder="1" applyAlignment="1" applyProtection="1">
      <alignment horizontal="right" vertical="center"/>
      <protection locked="0"/>
    </xf>
    <xf numFmtId="169" fontId="67" fillId="0" borderId="110" xfId="8" applyNumberFormat="1" applyFont="1" applyFill="1" applyBorder="1" applyAlignment="1" applyProtection="1">
      <alignment vertical="center"/>
      <protection locked="0"/>
    </xf>
    <xf numFmtId="169" fontId="67" fillId="0" borderId="125" xfId="8" applyNumberFormat="1" applyFont="1" applyFill="1" applyBorder="1" applyAlignment="1" applyProtection="1">
      <alignment vertical="center"/>
      <protection locked="0"/>
    </xf>
    <xf numFmtId="169" fontId="67" fillId="30" borderId="98" xfId="0" applyNumberFormat="1" applyFont="1" applyFill="1" applyBorder="1" applyAlignment="1">
      <alignment horizontal="center"/>
    </xf>
    <xf numFmtId="169" fontId="67" fillId="30" borderId="26" xfId="0" applyNumberFormat="1" applyFont="1" applyFill="1" applyBorder="1" applyAlignment="1">
      <alignment horizontal="center"/>
    </xf>
    <xf numFmtId="169" fontId="59" fillId="19" borderId="121" xfId="0" applyNumberFormat="1" applyFont="1" applyFill="1" applyBorder="1" applyAlignment="1" applyProtection="1"/>
    <xf numFmtId="169" fontId="59" fillId="19" borderId="31" xfId="0" applyNumberFormat="1" applyFont="1" applyFill="1" applyBorder="1" applyAlignment="1" applyProtection="1"/>
    <xf numFmtId="169" fontId="67" fillId="30" borderId="98" xfId="0" applyNumberFormat="1" applyFont="1" applyFill="1" applyBorder="1" applyAlignment="1" applyProtection="1">
      <alignment horizontal="right"/>
      <protection locked="0"/>
    </xf>
    <xf numFmtId="169" fontId="67" fillId="30" borderId="26" xfId="0" applyNumberFormat="1" applyFont="1" applyFill="1" applyBorder="1" applyAlignment="1" applyProtection="1">
      <alignment horizontal="right"/>
      <protection locked="0"/>
    </xf>
    <xf numFmtId="169" fontId="59" fillId="22" borderId="98" xfId="0" applyNumberFormat="1" applyFont="1" applyFill="1" applyBorder="1" applyAlignment="1" applyProtection="1">
      <protection locked="0"/>
    </xf>
    <xf numFmtId="169" fontId="60" fillId="23" borderId="26" xfId="0" applyNumberFormat="1" applyFont="1" applyFill="1" applyBorder="1" applyAlignment="1" applyProtection="1">
      <protection locked="0"/>
    </xf>
    <xf numFmtId="169" fontId="60" fillId="22" borderId="26" xfId="0" applyNumberFormat="1" applyFont="1" applyFill="1" applyBorder="1" applyAlignment="1" applyProtection="1">
      <protection locked="0"/>
    </xf>
    <xf numFmtId="169" fontId="68" fillId="22" borderId="26" xfId="0" applyNumberFormat="1" applyFont="1" applyFill="1" applyBorder="1" applyAlignment="1" applyProtection="1">
      <protection locked="0"/>
    </xf>
    <xf numFmtId="169" fontId="59" fillId="22" borderId="26" xfId="0" applyNumberFormat="1" applyFont="1" applyFill="1" applyBorder="1" applyAlignment="1" applyProtection="1">
      <protection locked="0"/>
    </xf>
    <xf numFmtId="169" fontId="67" fillId="23" borderId="26" xfId="0" applyNumberFormat="1" applyFont="1" applyFill="1" applyBorder="1" applyAlignment="1" applyProtection="1">
      <protection locked="0"/>
    </xf>
    <xf numFmtId="169" fontId="60" fillId="37" borderId="26" xfId="0" applyNumberFormat="1" applyFont="1" applyFill="1" applyBorder="1" applyAlignment="1" applyProtection="1">
      <protection locked="0"/>
    </xf>
    <xf numFmtId="169" fontId="68" fillId="38" borderId="26" xfId="0" applyNumberFormat="1" applyFont="1" applyFill="1" applyBorder="1" applyAlignment="1" applyProtection="1">
      <protection locked="0"/>
    </xf>
    <xf numFmtId="169" fontId="59" fillId="2" borderId="98" xfId="0" applyNumberFormat="1" applyFont="1" applyFill="1" applyBorder="1" applyAlignment="1" applyProtection="1">
      <protection locked="0"/>
    </xf>
    <xf numFmtId="169" fontId="59" fillId="2" borderId="26" xfId="0" applyNumberFormat="1" applyFont="1" applyFill="1" applyBorder="1" applyAlignment="1" applyProtection="1">
      <protection locked="0"/>
    </xf>
    <xf numFmtId="169" fontId="63" fillId="22" borderId="98" xfId="0" applyNumberFormat="1" applyFont="1" applyFill="1" applyBorder="1" applyAlignment="1" applyProtection="1">
      <alignment horizontal="right"/>
      <protection locked="0"/>
    </xf>
    <xf numFmtId="169" fontId="63" fillId="22" borderId="26" xfId="0" applyNumberFormat="1" applyFont="1" applyFill="1" applyBorder="1" applyAlignment="1" applyProtection="1">
      <alignment horizontal="right"/>
      <protection locked="0"/>
    </xf>
    <xf numFmtId="169" fontId="68" fillId="22" borderId="98" xfId="0" applyNumberFormat="1" applyFont="1" applyFill="1" applyBorder="1" applyAlignment="1" applyProtection="1">
      <alignment horizontal="center"/>
      <protection locked="0"/>
    </xf>
    <xf numFmtId="169" fontId="68" fillId="22" borderId="26" xfId="0" applyNumberFormat="1" applyFont="1" applyFill="1" applyBorder="1" applyAlignment="1" applyProtection="1">
      <alignment horizontal="center"/>
      <protection locked="0"/>
    </xf>
    <xf numFmtId="169" fontId="63" fillId="2" borderId="98" xfId="0" applyNumberFormat="1" applyFont="1" applyFill="1" applyBorder="1" applyAlignment="1" applyProtection="1">
      <alignment horizontal="right"/>
      <protection locked="0"/>
    </xf>
    <xf numFmtId="169" fontId="63" fillId="2" borderId="26" xfId="0" applyNumberFormat="1" applyFont="1" applyFill="1" applyBorder="1" applyAlignment="1" applyProtection="1">
      <alignment horizontal="right"/>
      <protection locked="0"/>
    </xf>
    <xf numFmtId="169" fontId="69" fillId="19" borderId="98" xfId="0" applyNumberFormat="1" applyFont="1" applyFill="1" applyBorder="1" applyAlignment="1" applyProtection="1"/>
    <xf numFmtId="169" fontId="69" fillId="19" borderId="26" xfId="0" applyNumberFormat="1" applyFont="1" applyFill="1" applyBorder="1" applyAlignment="1" applyProtection="1"/>
    <xf numFmtId="169" fontId="90" fillId="2" borderId="98" xfId="0" applyNumberFormat="1" applyFont="1" applyFill="1" applyBorder="1" applyAlignment="1" applyProtection="1"/>
    <xf numFmtId="169" fontId="90" fillId="2" borderId="26" xfId="0" applyNumberFormat="1" applyFont="1" applyFill="1" applyBorder="1" applyAlignment="1" applyProtection="1"/>
    <xf numFmtId="169" fontId="68" fillId="23" borderId="26" xfId="0" applyNumberFormat="1" applyFont="1" applyFill="1" applyBorder="1" applyAlignment="1" applyProtection="1">
      <alignment horizontal="right"/>
      <protection locked="0"/>
    </xf>
    <xf numFmtId="169" fontId="59" fillId="2" borderId="115" xfId="0" applyNumberFormat="1" applyFont="1" applyFill="1" applyBorder="1" applyProtection="1">
      <protection locked="0"/>
    </xf>
    <xf numFmtId="169" fontId="59" fillId="2" borderId="80" xfId="0" applyNumberFormat="1" applyFont="1" applyFill="1" applyBorder="1" applyProtection="1">
      <protection locked="0"/>
    </xf>
    <xf numFmtId="169" fontId="60" fillId="20" borderId="130" xfId="0" applyNumberFormat="1" applyFont="1" applyFill="1" applyBorder="1" applyAlignment="1" applyProtection="1">
      <alignment horizontal="right"/>
    </xf>
    <xf numFmtId="169" fontId="60" fillId="20" borderId="39" xfId="0" applyNumberFormat="1" applyFont="1" applyFill="1" applyBorder="1" applyAlignment="1" applyProtection="1">
      <alignment horizontal="right"/>
    </xf>
    <xf numFmtId="169" fontId="69" fillId="6" borderId="121" xfId="0" applyNumberFormat="1" applyFont="1" applyFill="1" applyBorder="1" applyAlignment="1" applyProtection="1"/>
    <xf numFmtId="169" fontId="69" fillId="6" borderId="31" xfId="0" applyNumberFormat="1" applyFont="1" applyFill="1" applyBorder="1" applyAlignment="1" applyProtection="1"/>
    <xf numFmtId="169" fontId="75" fillId="2" borderId="98" xfId="0" applyNumberFormat="1" applyFont="1" applyFill="1" applyBorder="1" applyAlignment="1" applyProtection="1">
      <protection locked="0"/>
    </xf>
    <xf numFmtId="169" fontId="75" fillId="2" borderId="26" xfId="0" applyNumberFormat="1" applyFont="1" applyFill="1" applyBorder="1" applyAlignment="1" applyProtection="1">
      <protection locked="0"/>
    </xf>
    <xf numFmtId="169" fontId="67" fillId="2" borderId="98" xfId="0" applyNumberFormat="1" applyFont="1" applyFill="1" applyBorder="1" applyAlignment="1" applyProtection="1"/>
    <xf numFmtId="169" fontId="67" fillId="2" borderId="26" xfId="0" applyNumberFormat="1" applyFont="1" applyFill="1" applyBorder="1" applyAlignment="1" applyProtection="1"/>
    <xf numFmtId="169" fontId="59" fillId="2" borderId="98" xfId="0" applyNumberFormat="1" applyFont="1" applyFill="1" applyBorder="1" applyAlignment="1" applyProtection="1">
      <alignment horizontal="right"/>
      <protection locked="0"/>
    </xf>
    <xf numFmtId="169" fontId="59" fillId="2" borderId="26" xfId="0" applyNumberFormat="1" applyFont="1" applyFill="1" applyBorder="1" applyAlignment="1" applyProtection="1">
      <alignment horizontal="right"/>
      <protection locked="0"/>
    </xf>
    <xf numFmtId="169" fontId="69" fillId="22" borderId="98" xfId="0" applyNumberFormat="1" applyFont="1" applyFill="1" applyBorder="1" applyAlignment="1" applyProtection="1">
      <alignment horizontal="right"/>
      <protection locked="0"/>
    </xf>
    <xf numFmtId="169" fontId="69" fillId="22" borderId="26" xfId="0" applyNumberFormat="1" applyFont="1" applyFill="1" applyBorder="1" applyAlignment="1" applyProtection="1">
      <alignment horizontal="right"/>
      <protection locked="0"/>
    </xf>
    <xf numFmtId="169" fontId="69" fillId="0" borderId="98" xfId="0" applyNumberFormat="1" applyFont="1" applyFill="1" applyBorder="1" applyAlignment="1" applyProtection="1">
      <alignment horizontal="right" vertical="center"/>
    </xf>
    <xf numFmtId="169" fontId="69" fillId="0" borderId="26" xfId="0" applyNumberFormat="1" applyFont="1" applyFill="1" applyBorder="1" applyAlignment="1" applyProtection="1">
      <alignment horizontal="right" vertical="center"/>
    </xf>
    <xf numFmtId="169" fontId="60" fillId="20" borderId="124" xfId="0" applyNumberFormat="1" applyFont="1" applyFill="1" applyBorder="1" applyAlignment="1" applyProtection="1"/>
    <xf numFmtId="169" fontId="60" fillId="20" borderId="24" xfId="0" applyNumberFormat="1" applyFont="1" applyFill="1" applyBorder="1" applyAlignment="1" applyProtection="1"/>
    <xf numFmtId="169" fontId="69" fillId="6" borderId="121" xfId="0" applyNumberFormat="1" applyFont="1" applyFill="1" applyBorder="1" applyAlignment="1" applyProtection="1">
      <alignment horizontal="right"/>
    </xf>
    <xf numFmtId="169" fontId="69" fillId="6" borderId="31" xfId="0" applyNumberFormat="1" applyFont="1" applyFill="1" applyBorder="1" applyAlignment="1" applyProtection="1">
      <alignment horizontal="right"/>
    </xf>
    <xf numFmtId="169" fontId="67" fillId="6" borderId="121" xfId="0" applyNumberFormat="1" applyFont="1" applyFill="1" applyBorder="1" applyAlignment="1" applyProtection="1"/>
    <xf numFmtId="169" fontId="67" fillId="6" borderId="31" xfId="0" applyNumberFormat="1" applyFont="1" applyFill="1" applyBorder="1" applyAlignment="1" applyProtection="1"/>
    <xf numFmtId="169" fontId="67" fillId="22" borderId="98" xfId="0" applyNumberFormat="1" applyFont="1" applyFill="1" applyBorder="1" applyAlignment="1" applyProtection="1"/>
    <xf numFmtId="169" fontId="67" fillId="22" borderId="26" xfId="0" applyNumberFormat="1" applyFont="1" applyFill="1" applyBorder="1" applyAlignment="1" applyProtection="1"/>
    <xf numFmtId="169" fontId="67" fillId="2" borderId="121" xfId="0" applyNumberFormat="1" applyFont="1" applyFill="1" applyBorder="1" applyAlignment="1" applyProtection="1"/>
    <xf numFmtId="169" fontId="67" fillId="2" borderId="31" xfId="0" applyNumberFormat="1" applyFont="1" applyFill="1" applyBorder="1" applyAlignment="1" applyProtection="1"/>
    <xf numFmtId="169" fontId="67" fillId="6" borderId="121" xfId="0" applyNumberFormat="1" applyFont="1" applyFill="1" applyBorder="1" applyAlignment="1" applyProtection="1">
      <alignment horizontal="right"/>
    </xf>
    <xf numFmtId="169" fontId="67" fillId="6" borderId="31" xfId="0" applyNumberFormat="1" applyFont="1" applyFill="1" applyBorder="1" applyAlignment="1" applyProtection="1">
      <alignment horizontal="right"/>
    </xf>
    <xf numFmtId="169" fontId="69" fillId="6" borderId="128" xfId="0" applyNumberFormat="1" applyFont="1" applyFill="1" applyBorder="1" applyAlignment="1" applyProtection="1"/>
    <xf numFmtId="169" fontId="69" fillId="6" borderId="33" xfId="0" applyNumberFormat="1" applyFont="1" applyFill="1" applyBorder="1" applyAlignment="1" applyProtection="1"/>
    <xf numFmtId="169" fontId="63" fillId="6" borderId="129" xfId="0" applyNumberFormat="1" applyFont="1" applyFill="1" applyBorder="1" applyAlignment="1" applyProtection="1"/>
    <xf numFmtId="169" fontId="63" fillId="6" borderId="35" xfId="0" applyNumberFormat="1" applyFont="1" applyFill="1" applyBorder="1" applyAlignment="1" applyProtection="1"/>
    <xf numFmtId="169" fontId="67" fillId="2" borderId="128" xfId="0" applyNumberFormat="1" applyFont="1" applyFill="1" applyBorder="1" applyAlignment="1" applyProtection="1">
      <alignment horizontal="right" indent="1"/>
    </xf>
    <xf numFmtId="169" fontId="67" fillId="2" borderId="33" xfId="0" applyNumberFormat="1" applyFont="1" applyFill="1" applyBorder="1" applyAlignment="1" applyProtection="1">
      <alignment horizontal="right" indent="1"/>
    </xf>
    <xf numFmtId="169" fontId="67" fillId="6" borderId="121" xfId="0" applyNumberFormat="1" applyFont="1" applyFill="1" applyBorder="1" applyAlignment="1" applyProtection="1">
      <alignment horizontal="right" indent="1"/>
    </xf>
    <xf numFmtId="169" fontId="67" fillId="6" borderId="31" xfId="0" applyNumberFormat="1" applyFont="1" applyFill="1" applyBorder="1" applyAlignment="1" applyProtection="1">
      <alignment horizontal="right" indent="1"/>
    </xf>
    <xf numFmtId="169" fontId="67" fillId="2" borderId="98" xfId="0" applyNumberFormat="1" applyFont="1" applyFill="1" applyBorder="1" applyAlignment="1" applyProtection="1">
      <alignment horizontal="right" indent="1"/>
    </xf>
    <xf numFmtId="169" fontId="67" fillId="2" borderId="26" xfId="0" applyNumberFormat="1" applyFont="1" applyFill="1" applyBorder="1" applyAlignment="1" applyProtection="1">
      <alignment horizontal="right" indent="1"/>
    </xf>
    <xf numFmtId="169" fontId="67" fillId="2" borderId="128" xfId="0" applyNumberFormat="1" applyFont="1" applyFill="1" applyBorder="1" applyAlignment="1" applyProtection="1"/>
    <xf numFmtId="169" fontId="67" fillId="2" borderId="33" xfId="0" applyNumberFormat="1" applyFont="1" applyFill="1" applyBorder="1" applyAlignment="1" applyProtection="1"/>
    <xf numFmtId="169" fontId="67" fillId="2" borderId="129" xfId="0" applyNumberFormat="1" applyFont="1" applyFill="1" applyBorder="1" applyAlignment="1" applyProtection="1">
      <protection locked="0"/>
    </xf>
    <xf numFmtId="169" fontId="67" fillId="2" borderId="35" xfId="0" applyNumberFormat="1" applyFont="1" applyFill="1" applyBorder="1" applyAlignment="1" applyProtection="1">
      <protection locked="0"/>
    </xf>
    <xf numFmtId="169" fontId="59" fillId="6" borderId="121" xfId="0" applyNumberFormat="1" applyFont="1" applyFill="1" applyBorder="1" applyAlignment="1" applyProtection="1"/>
    <xf numFmtId="169" fontId="59" fillId="6" borderId="31" xfId="0" applyNumberFormat="1" applyFont="1" applyFill="1" applyBorder="1" applyAlignment="1" applyProtection="1"/>
    <xf numFmtId="169" fontId="59" fillId="2" borderId="98" xfId="0" applyNumberFormat="1" applyFont="1" applyFill="1" applyBorder="1" applyAlignment="1" applyProtection="1"/>
    <xf numFmtId="169" fontId="59" fillId="2" borderId="26" xfId="0" applyNumberFormat="1" applyFont="1" applyFill="1" applyBorder="1" applyAlignment="1" applyProtection="1"/>
    <xf numFmtId="169" fontId="63" fillId="22" borderId="98" xfId="0" applyNumberFormat="1" applyFont="1" applyFill="1" applyBorder="1" applyAlignment="1" applyProtection="1">
      <alignment horizontal="right"/>
    </xf>
    <xf numFmtId="169" fontId="63" fillId="22" borderId="26" xfId="0" applyNumberFormat="1" applyFont="1" applyFill="1" applyBorder="1" applyAlignment="1" applyProtection="1">
      <alignment horizontal="right"/>
    </xf>
    <xf numFmtId="169" fontId="69" fillId="6" borderId="98" xfId="0" applyNumberFormat="1" applyFont="1" applyFill="1" applyBorder="1" applyAlignment="1" applyProtection="1"/>
    <xf numFmtId="169" fontId="69" fillId="6" borderId="26" xfId="0" applyNumberFormat="1" applyFont="1" applyFill="1" applyBorder="1" applyAlignment="1" applyProtection="1"/>
    <xf numFmtId="169" fontId="59" fillId="2" borderId="114" xfId="0" applyNumberFormat="1" applyFont="1" applyFill="1" applyBorder="1" applyAlignment="1" applyProtection="1"/>
    <xf numFmtId="169" fontId="59" fillId="2" borderId="42" xfId="0" applyNumberFormat="1" applyFont="1" applyFill="1" applyBorder="1" applyAlignment="1" applyProtection="1"/>
    <xf numFmtId="169" fontId="59" fillId="2" borderId="26" xfId="0" applyNumberFormat="1" applyFont="1" applyFill="1" applyBorder="1" applyProtection="1">
      <protection locked="0"/>
    </xf>
    <xf numFmtId="169" fontId="57" fillId="2" borderId="114" xfId="0" applyNumberFormat="1" applyFont="1" applyFill="1" applyBorder="1" applyAlignment="1" applyProtection="1">
      <alignment horizontal="left"/>
      <protection locked="0"/>
    </xf>
    <xf numFmtId="169" fontId="57" fillId="2" borderId="42" xfId="0" applyNumberFormat="1" applyFont="1" applyFill="1" applyBorder="1" applyAlignment="1" applyProtection="1">
      <alignment horizontal="left"/>
      <protection locked="0"/>
    </xf>
    <xf numFmtId="169" fontId="60" fillId="4" borderId="115" xfId="0" applyNumberFormat="1" applyFont="1" applyFill="1" applyBorder="1" applyAlignment="1">
      <alignment horizontal="center" vertical="center" wrapText="1"/>
    </xf>
    <xf numFmtId="169" fontId="60" fillId="4" borderId="80" xfId="0" applyNumberFormat="1" applyFont="1" applyFill="1" applyBorder="1" applyAlignment="1">
      <alignment horizontal="center" vertical="center" wrapText="1"/>
    </xf>
    <xf numFmtId="169" fontId="62" fillId="2" borderId="98" xfId="0" applyNumberFormat="1" applyFont="1" applyFill="1" applyBorder="1" applyAlignment="1" applyProtection="1">
      <alignment horizontal="right" vertical="center" wrapText="1"/>
      <protection locked="0"/>
    </xf>
    <xf numFmtId="169" fontId="62" fillId="2" borderId="26" xfId="0" applyNumberFormat="1" applyFont="1" applyFill="1" applyBorder="1" applyAlignment="1" applyProtection="1">
      <alignment horizontal="right" vertical="center" wrapText="1"/>
      <protection locked="0"/>
    </xf>
    <xf numFmtId="169" fontId="69" fillId="2" borderId="98" xfId="0" applyNumberFormat="1" applyFont="1" applyFill="1" applyBorder="1" applyAlignment="1" applyProtection="1">
      <alignment horizontal="right" wrapText="1"/>
      <protection locked="0"/>
    </xf>
    <xf numFmtId="169" fontId="69" fillId="2" borderId="26" xfId="0" applyNumberFormat="1" applyFont="1" applyFill="1" applyBorder="1" applyAlignment="1" applyProtection="1">
      <alignment horizontal="right" wrapText="1"/>
      <protection locked="0"/>
    </xf>
    <xf numFmtId="169" fontId="67" fillId="2" borderId="121" xfId="0" applyNumberFormat="1" applyFont="1" applyFill="1" applyBorder="1" applyAlignment="1" applyProtection="1">
      <alignment horizontal="right" wrapText="1"/>
    </xf>
    <xf numFmtId="169" fontId="67" fillId="2" borderId="31" xfId="0" applyNumberFormat="1" applyFont="1" applyFill="1" applyBorder="1" applyAlignment="1" applyProtection="1">
      <alignment horizontal="right" wrapText="1"/>
    </xf>
    <xf numFmtId="169" fontId="59" fillId="2" borderId="114" xfId="0" applyNumberFormat="1" applyFont="1" applyFill="1" applyBorder="1" applyAlignment="1" applyProtection="1">
      <alignment horizontal="right"/>
      <protection locked="0"/>
    </xf>
    <xf numFmtId="169" fontId="59" fillId="2" borderId="42" xfId="0" applyNumberFormat="1" applyFont="1" applyFill="1" applyBorder="1" applyAlignment="1" applyProtection="1">
      <alignment horizontal="right"/>
      <protection locked="0"/>
    </xf>
    <xf numFmtId="169" fontId="59" fillId="2" borderId="115" xfId="0" applyNumberFormat="1" applyFont="1" applyFill="1" applyBorder="1" applyAlignment="1" applyProtection="1">
      <alignment horizontal="right"/>
      <protection locked="0"/>
    </xf>
    <xf numFmtId="169" fontId="59" fillId="2" borderId="14" xfId="0" applyNumberFormat="1" applyFont="1" applyFill="1" applyBorder="1" applyAlignment="1" applyProtection="1">
      <alignment horizontal="right"/>
      <protection locked="0"/>
    </xf>
    <xf numFmtId="169" fontId="57" fillId="2" borderId="1" xfId="0" applyNumberFormat="1" applyFont="1" applyFill="1" applyBorder="1" applyAlignment="1" applyProtection="1">
      <alignment horizontal="left"/>
      <protection locked="0"/>
    </xf>
    <xf numFmtId="169" fontId="62" fillId="2" borderId="131" xfId="0" applyNumberFormat="1" applyFont="1" applyFill="1" applyBorder="1" applyAlignment="1" applyProtection="1">
      <alignment horizontal="right" vertical="center" wrapText="1"/>
      <protection locked="0"/>
    </xf>
    <xf numFmtId="169" fontId="62" fillId="2" borderId="132" xfId="0" applyNumberFormat="1" applyFont="1" applyFill="1" applyBorder="1" applyAlignment="1" applyProtection="1">
      <alignment horizontal="right" vertical="center" wrapText="1"/>
      <protection locked="0"/>
    </xf>
    <xf numFmtId="169" fontId="59" fillId="6" borderId="121" xfId="0" applyNumberFormat="1" applyFont="1" applyFill="1" applyBorder="1" applyAlignment="1" applyProtection="1">
      <alignment horizontal="right" wrapText="1"/>
    </xf>
    <xf numFmtId="169" fontId="59" fillId="6" borderId="31" xfId="0" applyNumberFormat="1" applyFont="1" applyFill="1" applyBorder="1" applyAlignment="1" applyProtection="1">
      <alignment horizontal="right" wrapText="1"/>
    </xf>
    <xf numFmtId="169" fontId="59" fillId="2" borderId="121" xfId="0" applyNumberFormat="1" applyFont="1" applyFill="1" applyBorder="1" applyAlignment="1" applyProtection="1">
      <alignment horizontal="right" wrapText="1"/>
      <protection locked="0"/>
    </xf>
    <xf numFmtId="169" fontId="59" fillId="2" borderId="31" xfId="0" applyNumberFormat="1" applyFont="1" applyFill="1" applyBorder="1" applyAlignment="1" applyProtection="1">
      <alignment horizontal="right" wrapText="1"/>
      <protection locked="0"/>
    </xf>
    <xf numFmtId="169" fontId="59" fillId="2" borderId="133" xfId="0" applyNumberFormat="1" applyFont="1" applyFill="1" applyBorder="1" applyAlignment="1" applyProtection="1">
      <alignment vertical="center"/>
      <protection locked="0"/>
    </xf>
    <xf numFmtId="169" fontId="59" fillId="2" borderId="134" xfId="0" applyNumberFormat="1" applyFont="1" applyFill="1" applyBorder="1" applyAlignment="1" applyProtection="1">
      <alignment vertical="center"/>
      <protection locked="0"/>
    </xf>
    <xf numFmtId="169" fontId="60" fillId="2" borderId="115" xfId="0" applyNumberFormat="1" applyFont="1" applyFill="1" applyBorder="1" applyProtection="1">
      <protection locked="0"/>
    </xf>
    <xf numFmtId="169" fontId="60" fillId="2" borderId="14" xfId="0" applyNumberFormat="1" applyFont="1" applyFill="1" applyBorder="1" applyProtection="1">
      <protection locked="0"/>
    </xf>
    <xf numFmtId="169" fontId="59" fillId="2" borderId="98" xfId="0" applyNumberFormat="1" applyFont="1" applyFill="1" applyBorder="1" applyAlignment="1" applyProtection="1">
      <alignment horizontal="left"/>
      <protection locked="0"/>
    </xf>
    <xf numFmtId="169" fontId="59" fillId="2" borderId="0" xfId="0" applyNumberFormat="1" applyFont="1" applyFill="1" applyBorder="1" applyAlignment="1" applyProtection="1">
      <alignment horizontal="left"/>
      <protection locked="0"/>
    </xf>
    <xf numFmtId="169" fontId="59" fillId="2" borderId="98" xfId="0" applyNumberFormat="1" applyFont="1" applyFill="1" applyBorder="1"/>
    <xf numFmtId="169" fontId="59" fillId="2" borderId="26" xfId="0" applyNumberFormat="1" applyFont="1" applyFill="1" applyBorder="1"/>
    <xf numFmtId="4" fontId="68" fillId="2" borderId="0" xfId="0" applyNumberFormat="1" applyFont="1" applyFill="1" applyProtection="1">
      <protection locked="0"/>
    </xf>
    <xf numFmtId="169" fontId="67" fillId="2" borderId="0" xfId="0" applyNumberFormat="1" applyFont="1" applyFill="1" applyProtection="1">
      <protection locked="0"/>
    </xf>
    <xf numFmtId="0" fontId="10" fillId="39" borderId="0" xfId="0" applyFont="1" applyFill="1" applyBorder="1" applyProtection="1">
      <protection hidden="1"/>
    </xf>
    <xf numFmtId="0" fontId="10" fillId="28" borderId="0" xfId="0" applyFont="1" applyFill="1" applyBorder="1" applyProtection="1">
      <protection hidden="1"/>
    </xf>
    <xf numFmtId="0" fontId="10" fillId="28" borderId="0" xfId="0" applyFont="1" applyFill="1" applyProtection="1">
      <protection hidden="1"/>
    </xf>
    <xf numFmtId="0" fontId="12" fillId="40" borderId="98" xfId="7" applyFont="1" applyFill="1" applyBorder="1" applyAlignment="1">
      <alignment horizontal="center" vertical="center"/>
    </xf>
    <xf numFmtId="0" fontId="12" fillId="40" borderId="98" xfId="7" applyFont="1" applyFill="1" applyBorder="1" applyAlignment="1">
      <alignment vertical="center"/>
    </xf>
    <xf numFmtId="168" fontId="12" fillId="40" borderId="98" xfId="7" applyNumberFormat="1" applyFont="1" applyFill="1" applyBorder="1" applyAlignment="1">
      <alignment vertical="center"/>
    </xf>
    <xf numFmtId="0" fontId="10" fillId="22" borderId="0" xfId="0" applyFont="1" applyFill="1" applyBorder="1" applyAlignment="1" applyProtection="1">
      <alignment horizontal="left"/>
      <protection hidden="1"/>
    </xf>
    <xf numFmtId="49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1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26" borderId="46" xfId="0" applyFont="1" applyFill="1" applyBorder="1" applyAlignment="1" applyProtection="1">
      <alignment horizontal="center" vertical="center" wrapText="1"/>
      <protection hidden="1"/>
    </xf>
    <xf numFmtId="1" fontId="10" fillId="0" borderId="47" xfId="0" applyNumberFormat="1" applyFont="1" applyBorder="1" applyAlignment="1" applyProtection="1">
      <protection hidden="1"/>
    </xf>
    <xf numFmtId="1" fontId="10" fillId="0" borderId="135" xfId="0" applyNumberFormat="1" applyFont="1" applyBorder="1" applyAlignment="1" applyProtection="1">
      <protection hidden="1"/>
    </xf>
    <xf numFmtId="1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8" fontId="12" fillId="0" borderId="0" xfId="0" applyNumberFormat="1" applyFont="1" applyFill="1" applyBorder="1" applyProtection="1">
      <protection hidden="1"/>
    </xf>
    <xf numFmtId="4" fontId="79" fillId="39" borderId="90" xfId="0" applyNumberFormat="1" applyFont="1" applyFill="1" applyBorder="1" applyAlignment="1" applyProtection="1">
      <alignment horizontal="center"/>
      <protection hidden="1"/>
    </xf>
    <xf numFmtId="0" fontId="79" fillId="39" borderId="0" xfId="0" applyFont="1" applyFill="1" applyBorder="1" applyProtection="1">
      <protection hidden="1"/>
    </xf>
    <xf numFmtId="4" fontId="10" fillId="39" borderId="0" xfId="0" applyNumberFormat="1" applyFont="1" applyFill="1" applyBorder="1" applyAlignment="1" applyProtection="1">
      <alignment horizontal="center"/>
      <protection hidden="1"/>
    </xf>
    <xf numFmtId="49" fontId="16" fillId="22" borderId="18" xfId="0" applyNumberFormat="1" applyFont="1" applyFill="1" applyBorder="1" applyAlignment="1" applyProtection="1">
      <alignment horizontal="left" vertical="top"/>
      <protection hidden="1"/>
    </xf>
    <xf numFmtId="168" fontId="82" fillId="22" borderId="18" xfId="0" applyNumberFormat="1" applyFont="1" applyFill="1" applyBorder="1" applyAlignment="1" applyProtection="1">
      <alignment horizontal="right"/>
      <protection hidden="1"/>
    </xf>
    <xf numFmtId="3" fontId="13" fillId="23" borderId="18" xfId="0" applyNumberFormat="1" applyFont="1" applyFill="1" applyBorder="1" applyAlignment="1" applyProtection="1">
      <alignment horizontal="right"/>
      <protection hidden="1"/>
    </xf>
    <xf numFmtId="168" fontId="13" fillId="23" borderId="18" xfId="0" applyNumberFormat="1" applyFont="1" applyFill="1" applyBorder="1" applyAlignment="1" applyProtection="1">
      <alignment horizontal="right"/>
      <protection hidden="1"/>
    </xf>
    <xf numFmtId="49" fontId="13" fillId="22" borderId="18" xfId="0" applyNumberFormat="1" applyFont="1" applyFill="1" applyBorder="1" applyAlignment="1" applyProtection="1">
      <alignment horizontal="left"/>
      <protection hidden="1"/>
    </xf>
    <xf numFmtId="49" fontId="13" fillId="22" borderId="26" xfId="0" applyNumberFormat="1" applyFont="1" applyFill="1" applyBorder="1" applyAlignment="1" applyProtection="1">
      <alignment horizontal="left" indent="2"/>
      <protection hidden="1"/>
    </xf>
    <xf numFmtId="49" fontId="13" fillId="26" borderId="26" xfId="0" applyNumberFormat="1" applyFont="1" applyFill="1" applyBorder="1" applyAlignment="1" applyProtection="1">
      <alignment horizontal="center"/>
      <protection hidden="1"/>
    </xf>
    <xf numFmtId="0" fontId="16" fillId="23" borderId="26" xfId="0" applyFont="1" applyFill="1" applyBorder="1" applyAlignment="1" applyProtection="1">
      <alignment horizontal="left" wrapText="1"/>
      <protection hidden="1"/>
    </xf>
    <xf numFmtId="168" fontId="13" fillId="26" borderId="18" xfId="0" applyNumberFormat="1" applyFont="1" applyFill="1" applyBorder="1" applyAlignment="1" applyProtection="1">
      <alignment horizontal="right"/>
      <protection hidden="1"/>
    </xf>
    <xf numFmtId="0" fontId="16" fillId="22" borderId="42" xfId="0" applyFont="1" applyFill="1" applyBorder="1" applyAlignment="1" applyProtection="1">
      <alignment horizontal="left" wrapText="1"/>
      <protection hidden="1"/>
    </xf>
    <xf numFmtId="49" fontId="16" fillId="22" borderId="26" xfId="0" quotePrefix="1" applyNumberFormat="1" applyFont="1" applyFill="1" applyBorder="1" applyAlignment="1" applyProtection="1">
      <alignment horizontal="left" wrapText="1"/>
      <protection hidden="1"/>
    </xf>
    <xf numFmtId="49" fontId="16" fillId="26" borderId="18" xfId="0" applyNumberFormat="1" applyFont="1" applyFill="1" applyBorder="1" applyAlignment="1" applyProtection="1">
      <alignment horizontal="left"/>
      <protection hidden="1"/>
    </xf>
    <xf numFmtId="0" fontId="13" fillId="26" borderId="26" xfId="0" applyFont="1" applyFill="1" applyBorder="1" applyAlignment="1" applyProtection="1">
      <alignment horizontal="left"/>
      <protection hidden="1"/>
    </xf>
    <xf numFmtId="49" fontId="16" fillId="26" borderId="26" xfId="0" applyNumberFormat="1" applyFont="1" applyFill="1" applyBorder="1" applyAlignment="1" applyProtection="1">
      <alignment horizontal="center"/>
      <protection hidden="1"/>
    </xf>
    <xf numFmtId="0" fontId="9" fillId="26" borderId="102" xfId="0" applyFont="1" applyFill="1" applyBorder="1" applyAlignment="1" applyProtection="1">
      <alignment horizontal="left"/>
      <protection hidden="1"/>
    </xf>
    <xf numFmtId="49" fontId="9" fillId="26" borderId="42" xfId="0" applyNumberFormat="1" applyFont="1" applyFill="1" applyBorder="1" applyAlignment="1" applyProtection="1">
      <alignment horizontal="center"/>
      <protection hidden="1"/>
    </xf>
    <xf numFmtId="0" fontId="10" fillId="26" borderId="43" xfId="0" applyFont="1" applyFill="1" applyBorder="1" applyProtection="1">
      <protection hidden="1"/>
    </xf>
    <xf numFmtId="0" fontId="10" fillId="26" borderId="102" xfId="0" applyFont="1" applyFill="1" applyBorder="1" applyProtection="1">
      <protection hidden="1"/>
    </xf>
    <xf numFmtId="168" fontId="10" fillId="23" borderId="26" xfId="0" applyNumberFormat="1" applyFont="1" applyFill="1" applyBorder="1" applyAlignment="1" applyProtection="1">
      <protection hidden="1"/>
    </xf>
    <xf numFmtId="168" fontId="10" fillId="26" borderId="18" xfId="0" applyNumberFormat="1" applyFont="1" applyFill="1" applyBorder="1" applyAlignment="1" applyProtection="1">
      <protection hidden="1"/>
    </xf>
    <xf numFmtId="3" fontId="79" fillId="22" borderId="43" xfId="0" applyNumberFormat="1" applyFont="1" applyFill="1" applyBorder="1" applyProtection="1">
      <protection hidden="1"/>
    </xf>
    <xf numFmtId="168" fontId="12" fillId="26" borderId="98" xfId="7" applyNumberFormat="1" applyFont="1" applyFill="1" applyBorder="1" applyAlignment="1">
      <alignment vertical="center"/>
    </xf>
    <xf numFmtId="0" fontId="59" fillId="26" borderId="136" xfId="0" applyFont="1" applyFill="1" applyBorder="1" applyAlignment="1" applyProtection="1">
      <alignment horizontal="right"/>
      <protection hidden="1"/>
    </xf>
    <xf numFmtId="0" fontId="59" fillId="26" borderId="137" xfId="0" applyFont="1" applyFill="1" applyBorder="1" applyAlignment="1" applyProtection="1">
      <protection hidden="1"/>
    </xf>
    <xf numFmtId="3" fontId="59" fillId="26" borderId="35" xfId="0" applyNumberFormat="1" applyFont="1" applyFill="1" applyBorder="1" applyAlignment="1" applyProtection="1">
      <protection hidden="1"/>
    </xf>
    <xf numFmtId="4" fontId="59" fillId="26" borderId="68" xfId="0" applyNumberFormat="1" applyFont="1" applyFill="1" applyBorder="1" applyAlignment="1" applyProtection="1">
      <alignment horizontal="center"/>
      <protection hidden="1"/>
    </xf>
    <xf numFmtId="3" fontId="59" fillId="26" borderId="0" xfId="0" applyNumberFormat="1" applyFont="1" applyFill="1" applyAlignment="1" applyProtection="1">
      <protection hidden="1"/>
    </xf>
    <xf numFmtId="0" fontId="59" fillId="26" borderId="0" xfId="0" applyFont="1" applyFill="1" applyProtection="1">
      <protection hidden="1"/>
    </xf>
    <xf numFmtId="3" fontId="59" fillId="26" borderId="0" xfId="0" applyNumberFormat="1" applyFont="1" applyFill="1" applyProtection="1">
      <protection hidden="1"/>
    </xf>
    <xf numFmtId="4" fontId="69" fillId="26" borderId="68" xfId="0" applyNumberFormat="1" applyFont="1" applyFill="1" applyBorder="1" applyAlignment="1" applyProtection="1">
      <alignment horizontal="center"/>
      <protection hidden="1"/>
    </xf>
    <xf numFmtId="3" fontId="59" fillId="26" borderId="0" xfId="0" applyNumberFormat="1" applyFont="1" applyFill="1" applyAlignment="1" applyProtection="1">
      <alignment vertical="center"/>
      <protection hidden="1"/>
    </xf>
    <xf numFmtId="49" fontId="59" fillId="26" borderId="0" xfId="0" applyNumberFormat="1" applyFont="1" applyFill="1" applyAlignment="1" applyProtection="1">
      <alignment horizontal="center" vertical="center"/>
      <protection hidden="1"/>
    </xf>
    <xf numFmtId="3" fontId="59" fillId="26" borderId="0" xfId="0" applyNumberFormat="1" applyFont="1" applyFill="1" applyAlignment="1" applyProtection="1">
      <alignment horizontal="center" vertical="center"/>
      <protection hidden="1"/>
    </xf>
    <xf numFmtId="0" fontId="59" fillId="26" borderId="137" xfId="0" applyFont="1" applyFill="1" applyBorder="1" applyAlignment="1" applyProtection="1">
      <alignment horizontal="left" indent="1"/>
      <protection hidden="1"/>
    </xf>
    <xf numFmtId="165" fontId="59" fillId="26" borderId="35" xfId="0" applyNumberFormat="1" applyFont="1" applyFill="1" applyBorder="1" applyAlignment="1" applyProtection="1">
      <protection hidden="1"/>
    </xf>
    <xf numFmtId="0" fontId="59" fillId="26" borderId="137" xfId="0" applyFont="1" applyFill="1" applyBorder="1" applyAlignment="1" applyProtection="1">
      <alignment wrapText="1"/>
      <protection hidden="1"/>
    </xf>
    <xf numFmtId="0" fontId="60" fillId="26" borderId="0" xfId="0" applyFont="1" applyFill="1" applyProtection="1">
      <protection hidden="1"/>
    </xf>
    <xf numFmtId="3" fontId="60" fillId="26" borderId="0" xfId="0" applyNumberFormat="1" applyFont="1" applyFill="1" applyProtection="1">
      <protection hidden="1"/>
    </xf>
    <xf numFmtId="0" fontId="67" fillId="26" borderId="138" xfId="0" applyFont="1" applyFill="1" applyBorder="1" applyAlignment="1" applyProtection="1">
      <alignment horizontal="left"/>
      <protection hidden="1"/>
    </xf>
    <xf numFmtId="0" fontId="67" fillId="26" borderId="137" xfId="0" applyFont="1" applyFill="1" applyBorder="1" applyAlignment="1" applyProtection="1">
      <alignment horizontal="left"/>
      <protection hidden="1"/>
    </xf>
    <xf numFmtId="0" fontId="59" fillId="26" borderId="139" xfId="0" applyFont="1" applyFill="1" applyBorder="1" applyAlignment="1" applyProtection="1">
      <alignment wrapText="1"/>
      <protection hidden="1"/>
    </xf>
    <xf numFmtId="0" fontId="69" fillId="26" borderId="69" xfId="0" applyFont="1" applyFill="1" applyBorder="1" applyAlignment="1" applyProtection="1">
      <alignment horizontal="right"/>
      <protection hidden="1"/>
    </xf>
    <xf numFmtId="0" fontId="75" fillId="26" borderId="70" xfId="0" applyFont="1" applyFill="1" applyBorder="1" applyAlignment="1" applyProtection="1">
      <protection hidden="1"/>
    </xf>
    <xf numFmtId="3" fontId="69" fillId="26" borderId="71" xfId="0" applyNumberFormat="1" applyFont="1" applyFill="1" applyBorder="1" applyAlignment="1" applyProtection="1">
      <alignment horizontal="right"/>
      <protection hidden="1"/>
    </xf>
    <xf numFmtId="4" fontId="69" fillId="26" borderId="65" xfId="0" applyNumberFormat="1" applyFont="1" applyFill="1" applyBorder="1" applyAlignment="1" applyProtection="1">
      <alignment horizontal="center"/>
      <protection hidden="1"/>
    </xf>
    <xf numFmtId="3" fontId="75" fillId="26" borderId="0" xfId="0" applyNumberFormat="1" applyFont="1" applyFill="1" applyAlignment="1" applyProtection="1">
      <alignment vertical="center"/>
      <protection hidden="1"/>
    </xf>
    <xf numFmtId="164" fontId="69" fillId="26" borderId="0" xfId="0" applyNumberFormat="1" applyFont="1" applyFill="1" applyAlignment="1" applyProtection="1">
      <alignment vertical="center"/>
      <protection hidden="1"/>
    </xf>
    <xf numFmtId="0" fontId="69" fillId="26" borderId="0" xfId="0" applyFont="1" applyFill="1" applyAlignment="1" applyProtection="1">
      <alignment vertical="center"/>
      <protection hidden="1"/>
    </xf>
    <xf numFmtId="3" fontId="59" fillId="26" borderId="35" xfId="0" applyNumberFormat="1" applyFont="1" applyFill="1" applyBorder="1" applyAlignment="1" applyProtection="1">
      <alignment horizontal="right"/>
      <protection hidden="1"/>
    </xf>
    <xf numFmtId="0" fontId="59" fillId="26" borderId="137" xfId="0" applyFont="1" applyFill="1" applyBorder="1" applyAlignment="1" applyProtection="1">
      <alignment horizontal="left"/>
      <protection hidden="1"/>
    </xf>
    <xf numFmtId="3" fontId="59" fillId="26" borderId="89" xfId="0" applyNumberFormat="1" applyFont="1" applyFill="1" applyBorder="1" applyAlignment="1" applyProtection="1">
      <protection hidden="1"/>
    </xf>
    <xf numFmtId="0" fontId="59" fillId="26" borderId="77" xfId="0" applyFont="1" applyFill="1" applyBorder="1" applyAlignment="1" applyProtection="1">
      <alignment horizontal="right"/>
      <protection hidden="1"/>
    </xf>
    <xf numFmtId="0" fontId="59" fillId="26" borderId="137" xfId="0" applyFont="1" applyFill="1" applyBorder="1" applyAlignment="1" applyProtection="1">
      <alignment horizontal="left" wrapText="1"/>
      <protection hidden="1"/>
    </xf>
    <xf numFmtId="49" fontId="67" fillId="2" borderId="32" xfId="0" applyNumberFormat="1" applyFont="1" applyFill="1" applyBorder="1" applyAlignment="1" applyProtection="1">
      <alignment horizontal="left" vertical="center" indent="4"/>
      <protection locked="0"/>
    </xf>
    <xf numFmtId="49" fontId="91" fillId="2" borderId="26" xfId="0" applyNumberFormat="1" applyFont="1" applyFill="1" applyBorder="1" applyAlignment="1">
      <alignment horizontal="left" indent="2"/>
    </xf>
    <xf numFmtId="49" fontId="91" fillId="2" borderId="0" xfId="0" applyNumberFormat="1" applyFont="1" applyFill="1" applyBorder="1" applyAlignment="1">
      <alignment horizontal="center"/>
    </xf>
    <xf numFmtId="4" fontId="5" fillId="0" borderId="140" xfId="0" applyNumberFormat="1" applyFont="1" applyBorder="1" applyAlignment="1" applyProtection="1">
      <alignment horizontal="right" vertical="center"/>
      <protection locked="0"/>
    </xf>
    <xf numFmtId="169" fontId="5" fillId="0" borderId="141" xfId="8" applyNumberFormat="1" applyFont="1" applyBorder="1" applyAlignment="1" applyProtection="1">
      <alignment horizontal="right" vertical="center"/>
      <protection locked="0"/>
    </xf>
    <xf numFmtId="169" fontId="5" fillId="0" borderId="142" xfId="8" applyNumberFormat="1" applyFont="1" applyBorder="1" applyAlignment="1" applyProtection="1">
      <alignment horizontal="right" vertical="center"/>
      <protection locked="0"/>
    </xf>
    <xf numFmtId="3" fontId="60" fillId="17" borderId="43" xfId="0" applyNumberFormat="1" applyFont="1" applyFill="1" applyBorder="1" applyAlignment="1" applyProtection="1">
      <alignment horizontal="center" vertical="center" wrapText="1"/>
    </xf>
    <xf numFmtId="3" fontId="57" fillId="2" borderId="0" xfId="0" applyNumberFormat="1" applyFont="1" applyFill="1" applyBorder="1" applyProtection="1">
      <protection locked="0"/>
    </xf>
    <xf numFmtId="3" fontId="59" fillId="2" borderId="0" xfId="0" applyNumberFormat="1" applyFont="1" applyFill="1" applyBorder="1" applyProtection="1">
      <protection locked="0"/>
    </xf>
    <xf numFmtId="3" fontId="58" fillId="2" borderId="0" xfId="0" applyNumberFormat="1" applyFont="1" applyFill="1" applyBorder="1" applyProtection="1">
      <protection locked="0"/>
    </xf>
    <xf numFmtId="3" fontId="57" fillId="2" borderId="0" xfId="0" applyNumberFormat="1" applyFont="1" applyFill="1" applyBorder="1" applyAlignment="1" applyProtection="1">
      <alignment horizontal="center"/>
      <protection locked="0"/>
    </xf>
    <xf numFmtId="3" fontId="57" fillId="2" borderId="1" xfId="0" applyNumberFormat="1" applyFont="1" applyFill="1" applyBorder="1" applyAlignment="1" applyProtection="1">
      <alignment horizontal="center"/>
      <protection locked="0"/>
    </xf>
    <xf numFmtId="3" fontId="60" fillId="17" borderId="79" xfId="0" applyNumberFormat="1" applyFont="1" applyFill="1" applyBorder="1" applyAlignment="1">
      <alignment horizontal="center" wrapText="1"/>
    </xf>
    <xf numFmtId="3" fontId="62" fillId="2" borderId="46" xfId="0" applyNumberFormat="1" applyFont="1" applyFill="1" applyBorder="1" applyAlignment="1" applyProtection="1">
      <alignment horizontal="center" vertical="center" wrapText="1"/>
      <protection locked="0"/>
    </xf>
    <xf numFmtId="3" fontId="6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60" fillId="18" borderId="86" xfId="0" applyNumberFormat="1" applyFont="1" applyFill="1" applyBorder="1" applyAlignment="1" applyProtection="1"/>
    <xf numFmtId="3" fontId="60" fillId="18" borderId="18" xfId="0" applyNumberFormat="1" applyFont="1" applyFill="1" applyBorder="1" applyAlignment="1" applyProtection="1"/>
    <xf numFmtId="3" fontId="60" fillId="18" borderId="29" xfId="0" applyNumberFormat="1" applyFont="1" applyFill="1" applyBorder="1" applyAlignment="1" applyProtection="1"/>
    <xf numFmtId="3" fontId="69" fillId="2" borderId="87" xfId="0" applyNumberFormat="1" applyFont="1" applyFill="1" applyBorder="1" applyAlignment="1" applyProtection="1">
      <alignment horizontal="center"/>
      <protection locked="0"/>
    </xf>
    <xf numFmtId="3" fontId="59" fillId="3" borderId="27" xfId="0" applyNumberFormat="1" applyFont="1" applyFill="1" applyBorder="1" applyAlignment="1" applyProtection="1">
      <alignment vertical="center"/>
    </xf>
    <xf numFmtId="3" fontId="59" fillId="2" borderId="27" xfId="0" applyNumberFormat="1" applyFont="1" applyFill="1" applyBorder="1" applyAlignment="1" applyProtection="1">
      <alignment vertical="center"/>
    </xf>
    <xf numFmtId="3" fontId="59" fillId="3" borderId="27" xfId="0" applyNumberFormat="1" applyFont="1" applyFill="1" applyBorder="1" applyAlignment="1" applyProtection="1"/>
    <xf numFmtId="3" fontId="59" fillId="2" borderId="27" xfId="0" applyNumberFormat="1" applyFont="1" applyFill="1" applyBorder="1" applyAlignment="1" applyProtection="1"/>
    <xf numFmtId="3" fontId="59" fillId="2" borderId="27" xfId="0" applyNumberFormat="1" applyFont="1" applyFill="1" applyBorder="1" applyAlignment="1" applyProtection="1">
      <protection locked="0"/>
    </xf>
    <xf numFmtId="3" fontId="66" fillId="2" borderId="88" xfId="0" applyNumberFormat="1" applyFont="1" applyFill="1" applyBorder="1" applyAlignment="1" applyProtection="1">
      <alignment horizontal="right"/>
      <protection locked="0"/>
    </xf>
    <xf numFmtId="3" fontId="57" fillId="2" borderId="86" xfId="0" applyNumberFormat="1" applyFont="1" applyFill="1" applyBorder="1" applyAlignment="1" applyProtection="1">
      <alignment horizontal="center"/>
      <protection locked="0"/>
    </xf>
    <xf numFmtId="3" fontId="57" fillId="2" borderId="18" xfId="0" applyNumberFormat="1" applyFont="1" applyFill="1" applyBorder="1" applyAlignment="1" applyProtection="1">
      <alignment horizontal="center"/>
      <protection locked="0"/>
    </xf>
    <xf numFmtId="3" fontId="69" fillId="2" borderId="43" xfId="0" applyNumberFormat="1" applyFont="1" applyFill="1" applyBorder="1" applyAlignment="1" applyProtection="1">
      <alignment horizontal="right"/>
      <protection locked="0"/>
    </xf>
    <xf numFmtId="3" fontId="60" fillId="29" borderId="46" xfId="0" applyNumberFormat="1" applyFont="1" applyFill="1" applyBorder="1" applyAlignment="1">
      <alignment horizontal="center" vertical="center" wrapText="1"/>
    </xf>
    <xf numFmtId="3" fontId="60" fillId="17" borderId="23" xfId="0" applyNumberFormat="1" applyFont="1" applyFill="1" applyBorder="1" applyAlignment="1" applyProtection="1"/>
    <xf numFmtId="3" fontId="67" fillId="19" borderId="18" xfId="0" applyNumberFormat="1" applyFont="1" applyFill="1" applyBorder="1" applyAlignment="1" applyProtection="1">
      <alignment horizontal="right"/>
    </xf>
    <xf numFmtId="3" fontId="66" fillId="2" borderId="29" xfId="0" applyNumberFormat="1" applyFont="1" applyFill="1" applyBorder="1" applyAlignment="1" applyProtection="1">
      <alignment horizontal="right"/>
      <protection locked="0"/>
    </xf>
    <xf numFmtId="3" fontId="60" fillId="17" borderId="29" xfId="0" applyNumberFormat="1" applyFont="1" applyFill="1" applyBorder="1" applyAlignment="1" applyProtection="1">
      <alignment horizontal="right"/>
    </xf>
    <xf numFmtId="3" fontId="61" fillId="2" borderId="18" xfId="0" applyNumberFormat="1" applyFont="1" applyFill="1" applyBorder="1" applyAlignment="1" applyProtection="1">
      <alignment horizontal="center"/>
      <protection locked="0"/>
    </xf>
    <xf numFmtId="3" fontId="69" fillId="19" borderId="27" xfId="0" applyNumberFormat="1" applyFont="1" applyFill="1" applyBorder="1" applyAlignment="1" applyProtection="1"/>
    <xf numFmtId="3" fontId="75" fillId="0" borderId="31" xfId="0" applyNumberFormat="1" applyFont="1" applyFill="1" applyBorder="1" applyAlignment="1" applyProtection="1">
      <alignment vertical="center"/>
      <protection locked="0"/>
    </xf>
    <xf numFmtId="3" fontId="75" fillId="2" borderId="18" xfId="0" applyNumberFormat="1" applyFont="1" applyFill="1" applyBorder="1" applyAlignment="1" applyProtection="1">
      <protection locked="0"/>
    </xf>
    <xf numFmtId="3" fontId="34" fillId="0" borderId="110" xfId="8" applyNumberFormat="1" applyFont="1" applyFill="1" applyBorder="1" applyAlignment="1" applyProtection="1">
      <alignment vertical="center"/>
      <protection locked="0"/>
    </xf>
    <xf numFmtId="3" fontId="34" fillId="0" borderId="110" xfId="8" applyNumberFormat="1" applyFont="1" applyFill="1" applyBorder="1" applyAlignment="1" applyProtection="1">
      <alignment horizontal="right" vertical="center"/>
      <protection locked="0"/>
    </xf>
    <xf numFmtId="3" fontId="60" fillId="2" borderId="18" xfId="0" applyNumberFormat="1" applyFont="1" applyFill="1" applyBorder="1" applyAlignment="1" applyProtection="1">
      <alignment horizontal="center"/>
      <protection locked="0"/>
    </xf>
    <xf numFmtId="3" fontId="3" fillId="26" borderId="110" xfId="8" applyNumberFormat="1" applyFont="1" applyFill="1" applyBorder="1" applyAlignment="1" applyProtection="1">
      <alignment horizontal="right" vertical="center"/>
      <protection locked="0"/>
    </xf>
    <xf numFmtId="3" fontId="69" fillId="2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10" xfId="8" applyNumberFormat="1" applyFont="1" applyFill="1" applyBorder="1" applyAlignment="1" applyProtection="1">
      <alignment horizontal="right" vertical="center"/>
      <protection locked="0"/>
    </xf>
    <xf numFmtId="3" fontId="69" fillId="2" borderId="18" xfId="0" applyNumberFormat="1" applyFont="1" applyFill="1" applyBorder="1" applyAlignment="1" applyProtection="1">
      <alignment horizontal="right"/>
      <protection locked="0"/>
    </xf>
    <xf numFmtId="3" fontId="34" fillId="0" borderId="110" xfId="8" applyNumberFormat="1" applyFont="1" applyBorder="1" applyAlignment="1" applyProtection="1">
      <alignment horizontal="right" vertical="center"/>
      <protection locked="0"/>
    </xf>
    <xf numFmtId="3" fontId="34" fillId="0" borderId="110" xfId="0" applyNumberFormat="1" applyFont="1" applyFill="1" applyBorder="1" applyAlignment="1" applyProtection="1">
      <alignment horizontal="right" vertical="center"/>
      <protection locked="0"/>
    </xf>
    <xf numFmtId="3" fontId="5" fillId="0" borderId="141" xfId="8" applyNumberFormat="1" applyFont="1" applyBorder="1" applyAlignment="1" applyProtection="1">
      <alignment horizontal="right" vertical="center"/>
      <protection locked="0"/>
    </xf>
    <xf numFmtId="3" fontId="66" fillId="2" borderId="18" xfId="0" applyNumberFormat="1" applyFont="1" applyFill="1" applyBorder="1" applyAlignment="1" applyProtection="1">
      <alignment horizontal="right"/>
      <protection locked="0"/>
    </xf>
    <xf numFmtId="3" fontId="69" fillId="19" borderId="27" xfId="0" applyNumberFormat="1" applyFont="1" applyFill="1" applyBorder="1" applyAlignment="1" applyProtection="1">
      <alignment horizontal="right"/>
    </xf>
    <xf numFmtId="3" fontId="67" fillId="19" borderId="27" xfId="0" applyNumberFormat="1" applyFont="1" applyFill="1" applyBorder="1" applyAlignment="1" applyProtection="1"/>
    <xf numFmtId="3" fontId="67" fillId="0" borderId="125" xfId="8" applyNumberFormat="1" applyFont="1" applyFill="1" applyBorder="1" applyAlignment="1" applyProtection="1">
      <alignment horizontal="right" vertical="center"/>
      <protection locked="0"/>
    </xf>
    <xf numFmtId="3" fontId="67" fillId="26" borderId="125" xfId="8" applyNumberFormat="1" applyFont="1" applyFill="1" applyBorder="1" applyAlignment="1" applyProtection="1">
      <alignment horizontal="right" vertical="center"/>
      <protection locked="0"/>
    </xf>
    <xf numFmtId="3" fontId="67" fillId="22" borderId="18" xfId="0" applyNumberFormat="1" applyFont="1" applyFill="1" applyBorder="1" applyAlignment="1" applyProtection="1">
      <protection locked="0"/>
    </xf>
    <xf numFmtId="3" fontId="68" fillId="22" borderId="18" xfId="0" applyNumberFormat="1" applyFont="1" applyFill="1" applyBorder="1" applyAlignment="1" applyProtection="1">
      <protection locked="0"/>
    </xf>
    <xf numFmtId="3" fontId="67" fillId="22" borderId="18" xfId="0" applyNumberFormat="1" applyFont="1" applyFill="1" applyBorder="1" applyAlignment="1" applyProtection="1">
      <alignment horizontal="right"/>
      <protection locked="0"/>
    </xf>
    <xf numFmtId="3" fontId="67" fillId="2" borderId="18" xfId="0" applyNumberFormat="1" applyFont="1" applyFill="1" applyBorder="1" applyAlignment="1" applyProtection="1">
      <protection locked="0"/>
    </xf>
    <xf numFmtId="3" fontId="67" fillId="2" borderId="18" xfId="0" applyNumberFormat="1" applyFont="1" applyFill="1" applyBorder="1" applyAlignment="1" applyProtection="1">
      <alignment horizontal="right"/>
      <protection locked="0"/>
    </xf>
    <xf numFmtId="3" fontId="67" fillId="19" borderId="27" xfId="0" applyNumberFormat="1" applyFont="1" applyFill="1" applyBorder="1" applyAlignment="1" applyProtection="1">
      <alignment horizontal="right"/>
    </xf>
    <xf numFmtId="3" fontId="69" fillId="19" borderId="22" xfId="0" applyNumberFormat="1" applyFont="1" applyFill="1" applyBorder="1" applyAlignment="1" applyProtection="1"/>
    <xf numFmtId="3" fontId="63" fillId="19" borderId="89" xfId="0" applyNumberFormat="1" applyFont="1" applyFill="1" applyBorder="1" applyAlignment="1" applyProtection="1"/>
    <xf numFmtId="3" fontId="67" fillId="26" borderId="110" xfId="8" applyNumberFormat="1" applyFont="1" applyFill="1" applyBorder="1" applyAlignment="1" applyProtection="1">
      <alignment horizontal="right" vertical="center"/>
      <protection locked="0"/>
    </xf>
    <xf numFmtId="3" fontId="67" fillId="36" borderId="143" xfId="8" applyNumberFormat="1" applyFont="1" applyFill="1" applyBorder="1" applyAlignment="1" applyProtection="1">
      <alignment horizontal="right" vertical="center"/>
      <protection locked="0"/>
    </xf>
    <xf numFmtId="3" fontId="67" fillId="0" borderId="110" xfId="8" applyNumberFormat="1" applyFont="1" applyFill="1" applyBorder="1" applyAlignment="1" applyProtection="1">
      <alignment horizontal="right" vertical="center"/>
      <protection locked="0"/>
    </xf>
    <xf numFmtId="3" fontId="67" fillId="36" borderId="18" xfId="8" applyNumberFormat="1" applyFont="1" applyFill="1" applyBorder="1" applyAlignment="1" applyProtection="1">
      <alignment horizontal="right" vertical="center"/>
      <protection locked="0"/>
    </xf>
    <xf numFmtId="3" fontId="67" fillId="0" borderId="110" xfId="8" applyNumberFormat="1" applyFont="1" applyFill="1" applyBorder="1" applyAlignment="1" applyProtection="1">
      <alignment vertical="center"/>
      <protection locked="0"/>
    </xf>
    <xf numFmtId="3" fontId="67" fillId="0" borderId="110" xfId="8" applyNumberFormat="1" applyFont="1" applyFill="1" applyBorder="1" applyAlignment="1" applyProtection="1">
      <alignment horizontal="right" vertical="center"/>
      <protection locked="0"/>
    </xf>
    <xf numFmtId="3" fontId="59" fillId="19" borderId="27" xfId="0" applyNumberFormat="1" applyFont="1" applyFill="1" applyBorder="1" applyAlignment="1" applyProtection="1"/>
    <xf numFmtId="3" fontId="67" fillId="30" borderId="18" xfId="0" applyNumberFormat="1" applyFont="1" applyFill="1" applyBorder="1" applyAlignment="1" applyProtection="1">
      <alignment horizontal="right"/>
      <protection locked="0"/>
    </xf>
    <xf numFmtId="3" fontId="60" fillId="23" borderId="18" xfId="0" applyNumberFormat="1" applyFont="1" applyFill="1" applyBorder="1" applyAlignment="1" applyProtection="1">
      <protection locked="0"/>
    </xf>
    <xf numFmtId="3" fontId="60" fillId="22" borderId="18" xfId="0" applyNumberFormat="1" applyFont="1" applyFill="1" applyBorder="1" applyAlignment="1" applyProtection="1">
      <protection locked="0"/>
    </xf>
    <xf numFmtId="3" fontId="59" fillId="22" borderId="18" xfId="0" applyNumberFormat="1" applyFont="1" applyFill="1" applyBorder="1" applyAlignment="1" applyProtection="1">
      <protection locked="0"/>
    </xf>
    <xf numFmtId="3" fontId="67" fillId="23" borderId="18" xfId="0" applyNumberFormat="1" applyFont="1" applyFill="1" applyBorder="1" applyAlignment="1" applyProtection="1">
      <protection locked="0"/>
    </xf>
    <xf numFmtId="3" fontId="60" fillId="37" borderId="18" xfId="0" applyNumberFormat="1" applyFont="1" applyFill="1" applyBorder="1" applyAlignment="1" applyProtection="1">
      <protection locked="0"/>
    </xf>
    <xf numFmtId="3" fontId="68" fillId="38" borderId="18" xfId="0" applyNumberFormat="1" applyFont="1" applyFill="1" applyBorder="1" applyAlignment="1" applyProtection="1">
      <protection locked="0"/>
    </xf>
    <xf numFmtId="3" fontId="59" fillId="2" borderId="18" xfId="0" applyNumberFormat="1" applyFont="1" applyFill="1" applyBorder="1" applyAlignment="1" applyProtection="1">
      <protection locked="0"/>
    </xf>
    <xf numFmtId="3" fontId="63" fillId="22" borderId="18" xfId="0" applyNumberFormat="1" applyFont="1" applyFill="1" applyBorder="1" applyAlignment="1" applyProtection="1">
      <alignment horizontal="right"/>
      <protection locked="0"/>
    </xf>
    <xf numFmtId="3" fontId="68" fillId="22" borderId="18" xfId="0" applyNumberFormat="1" applyFont="1" applyFill="1" applyBorder="1" applyAlignment="1" applyProtection="1">
      <alignment horizontal="center"/>
      <protection locked="0"/>
    </xf>
    <xf numFmtId="3" fontId="63" fillId="2" borderId="18" xfId="0" applyNumberFormat="1" applyFont="1" applyFill="1" applyBorder="1" applyAlignment="1" applyProtection="1">
      <alignment horizontal="right"/>
      <protection locked="0"/>
    </xf>
    <xf numFmtId="3" fontId="69" fillId="19" borderId="18" xfId="0" applyNumberFormat="1" applyFont="1" applyFill="1" applyBorder="1" applyAlignment="1" applyProtection="1"/>
    <xf numFmtId="3" fontId="68" fillId="23" borderId="18" xfId="0" applyNumberFormat="1" applyFont="1" applyFill="1" applyBorder="1" applyAlignment="1" applyProtection="1">
      <alignment horizontal="right"/>
      <protection locked="0"/>
    </xf>
    <xf numFmtId="3" fontId="59" fillId="2" borderId="79" xfId="0" applyNumberFormat="1" applyFont="1" applyFill="1" applyBorder="1" applyProtection="1">
      <protection locked="0"/>
    </xf>
    <xf numFmtId="3" fontId="60" fillId="20" borderId="38" xfId="0" applyNumberFormat="1" applyFont="1" applyFill="1" applyBorder="1" applyAlignment="1" applyProtection="1">
      <alignment horizontal="right"/>
    </xf>
    <xf numFmtId="3" fontId="69" fillId="6" borderId="27" xfId="0" applyNumberFormat="1" applyFont="1" applyFill="1" applyBorder="1" applyAlignment="1" applyProtection="1"/>
    <xf numFmtId="3" fontId="67" fillId="2" borderId="18" xfId="0" applyNumberFormat="1" applyFont="1" applyFill="1" applyBorder="1" applyAlignment="1" applyProtection="1"/>
    <xf numFmtId="3" fontId="59" fillId="2" borderId="18" xfId="0" applyNumberFormat="1" applyFont="1" applyFill="1" applyBorder="1" applyAlignment="1" applyProtection="1">
      <alignment horizontal="right"/>
      <protection locked="0"/>
    </xf>
    <xf numFmtId="3" fontId="60" fillId="22" borderId="18" xfId="0" applyNumberFormat="1" applyFont="1" applyFill="1" applyBorder="1" applyAlignment="1" applyProtection="1">
      <alignment horizontal="center"/>
      <protection locked="0"/>
    </xf>
    <xf numFmtId="3" fontId="69" fillId="22" borderId="18" xfId="0" applyNumberFormat="1" applyFont="1" applyFill="1" applyBorder="1" applyAlignment="1" applyProtection="1">
      <alignment horizontal="right" vertical="center"/>
      <protection locked="0"/>
    </xf>
    <xf numFmtId="3" fontId="69" fillId="22" borderId="18" xfId="0" applyNumberFormat="1" applyFont="1" applyFill="1" applyBorder="1" applyAlignment="1" applyProtection="1">
      <alignment horizontal="right"/>
      <protection locked="0"/>
    </xf>
    <xf numFmtId="3" fontId="69" fillId="0" borderId="18" xfId="0" applyNumberFormat="1" applyFont="1" applyFill="1" applyBorder="1" applyAlignment="1" applyProtection="1">
      <alignment horizontal="right" vertical="center"/>
    </xf>
    <xf numFmtId="3" fontId="60" fillId="20" borderId="23" xfId="0" applyNumberFormat="1" applyFont="1" applyFill="1" applyBorder="1" applyAlignment="1" applyProtection="1"/>
    <xf numFmtId="3" fontId="69" fillId="6" borderId="27" xfId="0" applyNumberFormat="1" applyFont="1" applyFill="1" applyBorder="1" applyAlignment="1" applyProtection="1">
      <alignment horizontal="right"/>
    </xf>
    <xf numFmtId="3" fontId="67" fillId="6" borderId="27" xfId="0" applyNumberFormat="1" applyFont="1" applyFill="1" applyBorder="1" applyAlignment="1" applyProtection="1"/>
    <xf numFmtId="3" fontId="67" fillId="22" borderId="18" xfId="0" applyNumberFormat="1" applyFont="1" applyFill="1" applyBorder="1" applyAlignment="1" applyProtection="1"/>
    <xf numFmtId="3" fontId="67" fillId="2" borderId="27" xfId="0" applyNumberFormat="1" applyFont="1" applyFill="1" applyBorder="1" applyAlignment="1" applyProtection="1"/>
    <xf numFmtId="3" fontId="67" fillId="6" borderId="27" xfId="0" applyNumberFormat="1" applyFont="1" applyFill="1" applyBorder="1" applyAlignment="1" applyProtection="1">
      <alignment horizontal="right"/>
    </xf>
    <xf numFmtId="3" fontId="69" fillId="6" borderId="22" xfId="0" applyNumberFormat="1" applyFont="1" applyFill="1" applyBorder="1" applyAlignment="1" applyProtection="1"/>
    <xf numFmtId="3" fontId="63" fillId="6" borderId="89" xfId="0" applyNumberFormat="1" applyFont="1" applyFill="1" applyBorder="1" applyAlignment="1" applyProtection="1"/>
    <xf numFmtId="3" fontId="67" fillId="6" borderId="121" xfId="0" applyNumberFormat="1" applyFont="1" applyFill="1" applyBorder="1" applyAlignment="1" applyProtection="1"/>
    <xf numFmtId="3" fontId="67" fillId="2" borderId="22" xfId="0" applyNumberFormat="1" applyFont="1" applyFill="1" applyBorder="1" applyAlignment="1" applyProtection="1">
      <alignment horizontal="right" indent="1"/>
    </xf>
    <xf numFmtId="3" fontId="67" fillId="6" borderId="27" xfId="0" applyNumberFormat="1" applyFont="1" applyFill="1" applyBorder="1" applyAlignment="1" applyProtection="1">
      <alignment horizontal="right" indent="1"/>
    </xf>
    <xf numFmtId="3" fontId="67" fillId="2" borderId="18" xfId="0" applyNumberFormat="1" applyFont="1" applyFill="1" applyBorder="1" applyAlignment="1" applyProtection="1">
      <alignment horizontal="right" indent="1"/>
    </xf>
    <xf numFmtId="3" fontId="67" fillId="2" borderId="22" xfId="0" applyNumberFormat="1" applyFont="1" applyFill="1" applyBorder="1" applyAlignment="1" applyProtection="1"/>
    <xf numFmtId="3" fontId="67" fillId="2" borderId="89" xfId="0" applyNumberFormat="1" applyFont="1" applyFill="1" applyBorder="1" applyAlignment="1" applyProtection="1">
      <protection locked="0"/>
    </xf>
    <xf numFmtId="3" fontId="59" fillId="6" borderId="27" xfId="0" applyNumberFormat="1" applyFont="1" applyFill="1" applyBorder="1" applyAlignment="1" applyProtection="1"/>
    <xf numFmtId="3" fontId="59" fillId="6" borderId="121" xfId="0" applyNumberFormat="1" applyFont="1" applyFill="1" applyBorder="1" applyAlignment="1" applyProtection="1"/>
    <xf numFmtId="3" fontId="67" fillId="2" borderId="98" xfId="0" applyNumberFormat="1" applyFont="1" applyFill="1" applyBorder="1" applyAlignment="1" applyProtection="1">
      <alignment horizontal="right"/>
    </xf>
    <xf numFmtId="3" fontId="59" fillId="2" borderId="18" xfId="0" applyNumberFormat="1" applyFont="1" applyFill="1" applyBorder="1" applyAlignment="1" applyProtection="1"/>
    <xf numFmtId="3" fontId="63" fillId="22" borderId="18" xfId="0" applyNumberFormat="1" applyFont="1" applyFill="1" applyBorder="1" applyAlignment="1" applyProtection="1">
      <alignment horizontal="right"/>
    </xf>
    <xf numFmtId="3" fontId="69" fillId="6" borderId="18" xfId="0" applyNumberFormat="1" applyFont="1" applyFill="1" applyBorder="1" applyAlignment="1" applyProtection="1"/>
    <xf numFmtId="3" fontId="59" fillId="2" borderId="43" xfId="0" applyNumberFormat="1" applyFont="1" applyFill="1" applyBorder="1" applyAlignment="1" applyProtection="1"/>
    <xf numFmtId="3" fontId="59" fillId="2" borderId="18" xfId="0" applyNumberFormat="1" applyFont="1" applyFill="1" applyBorder="1" applyProtection="1">
      <protection locked="0"/>
    </xf>
    <xf numFmtId="3" fontId="57" fillId="2" borderId="43" xfId="0" applyNumberFormat="1" applyFont="1" applyFill="1" applyBorder="1" applyAlignment="1" applyProtection="1">
      <alignment horizontal="left"/>
      <protection locked="0"/>
    </xf>
    <xf numFmtId="3" fontId="60" fillId="4" borderId="79" xfId="0" applyNumberFormat="1" applyFont="1" applyFill="1" applyBorder="1" applyAlignment="1">
      <alignment horizontal="center" vertical="center" wrapText="1"/>
    </xf>
    <xf numFmtId="3" fontId="62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69" fillId="2" borderId="18" xfId="0" applyNumberFormat="1" applyFont="1" applyFill="1" applyBorder="1" applyAlignment="1" applyProtection="1">
      <alignment horizontal="right" wrapText="1"/>
      <protection locked="0"/>
    </xf>
    <xf numFmtId="3" fontId="67" fillId="2" borderId="27" xfId="0" applyNumberFormat="1" applyFont="1" applyFill="1" applyBorder="1" applyAlignment="1" applyProtection="1">
      <alignment horizontal="right" wrapText="1"/>
    </xf>
    <xf numFmtId="3" fontId="59" fillId="2" borderId="43" xfId="0" applyNumberFormat="1" applyFont="1" applyFill="1" applyBorder="1" applyAlignment="1" applyProtection="1">
      <alignment horizontal="right"/>
      <protection locked="0"/>
    </xf>
    <xf numFmtId="3" fontId="59" fillId="2" borderId="14" xfId="0" applyNumberFormat="1" applyFont="1" applyFill="1" applyBorder="1" applyAlignment="1" applyProtection="1">
      <alignment horizontal="right"/>
      <protection locked="0"/>
    </xf>
    <xf numFmtId="3" fontId="57" fillId="2" borderId="1" xfId="0" applyNumberFormat="1" applyFont="1" applyFill="1" applyBorder="1" applyAlignment="1" applyProtection="1">
      <alignment horizontal="left"/>
      <protection locked="0"/>
    </xf>
    <xf numFmtId="3" fontId="62" fillId="2" borderId="144" xfId="0" applyNumberFormat="1" applyFont="1" applyFill="1" applyBorder="1" applyAlignment="1" applyProtection="1">
      <alignment horizontal="right" vertical="center" wrapText="1"/>
      <protection locked="0"/>
    </xf>
    <xf numFmtId="3" fontId="59" fillId="6" borderId="27" xfId="0" applyNumberFormat="1" applyFont="1" applyFill="1" applyBorder="1" applyAlignment="1" applyProtection="1">
      <alignment horizontal="right" wrapText="1"/>
    </xf>
    <xf numFmtId="3" fontId="59" fillId="2" borderId="27" xfId="0" applyNumberFormat="1" applyFont="1" applyFill="1" applyBorder="1" applyAlignment="1" applyProtection="1">
      <alignment horizontal="right" wrapText="1"/>
      <protection locked="0"/>
    </xf>
    <xf numFmtId="3" fontId="59" fillId="2" borderId="145" xfId="0" applyNumberFormat="1" applyFont="1" applyFill="1" applyBorder="1" applyAlignment="1" applyProtection="1">
      <alignment vertical="center"/>
      <protection locked="0"/>
    </xf>
    <xf numFmtId="3" fontId="60" fillId="2" borderId="14" xfId="0" applyNumberFormat="1" applyFont="1" applyFill="1" applyBorder="1" applyProtection="1">
      <protection locked="0"/>
    </xf>
    <xf numFmtId="3" fontId="59" fillId="2" borderId="0" xfId="0" applyNumberFormat="1" applyFont="1" applyFill="1" applyBorder="1" applyAlignment="1" applyProtection="1">
      <alignment horizontal="left"/>
      <protection locked="0"/>
    </xf>
    <xf numFmtId="3" fontId="59" fillId="2" borderId="18" xfId="0" applyNumberFormat="1" applyFont="1" applyFill="1" applyBorder="1"/>
    <xf numFmtId="0" fontId="59" fillId="0" borderId="136" xfId="0" applyFont="1" applyBorder="1" applyProtection="1">
      <protection hidden="1"/>
    </xf>
    <xf numFmtId="0" fontId="59" fillId="0" borderId="146" xfId="0" applyFont="1" applyBorder="1" applyAlignment="1" applyProtection="1">
      <alignment horizontal="left" indent="5"/>
      <protection hidden="1"/>
    </xf>
    <xf numFmtId="0" fontId="59" fillId="0" borderId="89" xfId="0" applyFont="1" applyBorder="1" applyProtection="1">
      <protection hidden="1"/>
    </xf>
    <xf numFmtId="0" fontId="59" fillId="0" borderId="35" xfId="0" applyFont="1" applyBorder="1" applyProtection="1">
      <protection hidden="1"/>
    </xf>
    <xf numFmtId="0" fontId="59" fillId="0" borderId="59" xfId="0" applyFont="1" applyBorder="1" applyProtection="1">
      <protection hidden="1"/>
    </xf>
    <xf numFmtId="0" fontId="59" fillId="0" borderId="147" xfId="0" applyFont="1" applyBorder="1" applyAlignment="1" applyProtection="1">
      <alignment horizontal="left" indent="5"/>
      <protection hidden="1"/>
    </xf>
    <xf numFmtId="0" fontId="59" fillId="0" borderId="148" xfId="0" applyFont="1" applyBorder="1" applyProtection="1">
      <protection hidden="1"/>
    </xf>
    <xf numFmtId="0" fontId="59" fillId="0" borderId="61" xfId="0" applyFont="1" applyBorder="1" applyProtection="1">
      <protection hidden="1"/>
    </xf>
    <xf numFmtId="3" fontId="59" fillId="0" borderId="61" xfId="0" applyNumberFormat="1" applyFont="1" applyBorder="1" applyProtection="1">
      <protection hidden="1"/>
    </xf>
    <xf numFmtId="3" fontId="92" fillId="2" borderId="18" xfId="0" applyNumberFormat="1" applyFont="1" applyFill="1" applyBorder="1" applyAlignment="1" applyProtection="1"/>
    <xf numFmtId="169" fontId="67" fillId="22" borderId="98" xfId="0" applyNumberFormat="1" applyFont="1" applyFill="1" applyBorder="1" applyAlignment="1" applyProtection="1">
      <protection locked="0"/>
    </xf>
    <xf numFmtId="169" fontId="67" fillId="22" borderId="0" xfId="0" applyNumberFormat="1" applyFont="1" applyFill="1" applyBorder="1" applyAlignment="1" applyProtection="1">
      <protection locked="0"/>
    </xf>
    <xf numFmtId="3" fontId="67" fillId="22" borderId="0" xfId="0" applyNumberFormat="1" applyFont="1" applyFill="1" applyBorder="1" applyAlignment="1" applyProtection="1">
      <protection locked="0"/>
    </xf>
    <xf numFmtId="0" fontId="70" fillId="41" borderId="149" xfId="2" applyFont="1" applyFill="1" applyBorder="1" applyAlignment="1">
      <alignment horizontal="center" vertical="center" wrapText="1"/>
    </xf>
    <xf numFmtId="0" fontId="70" fillId="41" borderId="150" xfId="2" applyFont="1" applyFill="1" applyBorder="1" applyAlignment="1">
      <alignment horizontal="center" vertical="center" wrapText="1"/>
    </xf>
    <xf numFmtId="0" fontId="44" fillId="0" borderId="0" xfId="6" applyFont="1"/>
    <xf numFmtId="0" fontId="44" fillId="0" borderId="0" xfId="6" applyFont="1" applyAlignment="1">
      <alignment horizontal="left" wrapText="1"/>
    </xf>
    <xf numFmtId="0" fontId="31" fillId="0" borderId="0" xfId="6" applyAlignment="1">
      <alignment horizontal="center" vertical="center"/>
    </xf>
    <xf numFmtId="0" fontId="31" fillId="0" borderId="0" xfId="6"/>
    <xf numFmtId="0" fontId="44" fillId="0" borderId="0" xfId="6" applyFont="1" applyAlignment="1">
      <alignment horizontal="left" vertical="center"/>
    </xf>
    <xf numFmtId="0" fontId="44" fillId="0" borderId="0" xfId="6" applyFont="1" applyAlignment="1">
      <alignment vertical="center"/>
    </xf>
    <xf numFmtId="0" fontId="44" fillId="0" borderId="0" xfId="6" applyFont="1" applyAlignment="1">
      <alignment horizontal="center" vertical="center"/>
    </xf>
    <xf numFmtId="0" fontId="31" fillId="0" borderId="0" xfId="6" applyBorder="1"/>
    <xf numFmtId="0" fontId="44" fillId="0" borderId="0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/>
    </xf>
    <xf numFmtId="0" fontId="44" fillId="0" borderId="92" xfId="6" applyFont="1" applyBorder="1"/>
    <xf numFmtId="0" fontId="44" fillId="0" borderId="92" xfId="6" applyFont="1" applyBorder="1" applyAlignment="1">
      <alignment horizontal="center" vertical="center"/>
    </xf>
    <xf numFmtId="0" fontId="44" fillId="0" borderId="92" xfId="6" applyFont="1" applyBorder="1" applyAlignment="1">
      <alignment horizontal="center" vertical="center" wrapText="1"/>
    </xf>
    <xf numFmtId="0" fontId="44" fillId="0" borderId="149" xfId="6" applyFont="1" applyBorder="1" applyAlignment="1">
      <alignment horizontal="center"/>
    </xf>
    <xf numFmtId="0" fontId="31" fillId="0" borderId="92" xfId="6" applyNumberFormat="1" applyBorder="1"/>
    <xf numFmtId="0" fontId="48" fillId="0" borderId="92" xfId="6" applyFont="1" applyBorder="1"/>
    <xf numFmtId="0" fontId="49" fillId="0" borderId="92" xfId="6" applyFont="1" applyBorder="1" applyAlignment="1">
      <alignment horizontal="center" vertical="center" wrapText="1"/>
    </xf>
    <xf numFmtId="3" fontId="50" fillId="0" borderId="92" xfId="6" applyNumberFormat="1" applyFont="1" applyBorder="1"/>
    <xf numFmtId="3" fontId="50" fillId="26" borderId="92" xfId="6" applyNumberFormat="1" applyFont="1" applyFill="1" applyBorder="1"/>
    <xf numFmtId="3" fontId="51" fillId="42" borderId="92" xfId="6" applyNumberFormat="1" applyFont="1" applyFill="1" applyBorder="1" applyAlignment="1" applyProtection="1">
      <alignment horizontal="right" vertical="center"/>
    </xf>
    <xf numFmtId="3" fontId="44" fillId="0" borderId="92" xfId="6" applyNumberFormat="1" applyFont="1" applyBorder="1"/>
    <xf numFmtId="3" fontId="44" fillId="26" borderId="92" xfId="6" applyNumberFormat="1" applyFont="1" applyFill="1" applyBorder="1" applyAlignment="1">
      <alignment horizontal="center" vertical="center" wrapText="1"/>
    </xf>
    <xf numFmtId="3" fontId="44" fillId="0" borderId="92" xfId="6" applyNumberFormat="1" applyFont="1" applyBorder="1" applyAlignment="1">
      <alignment horizontal="center" vertical="center" wrapText="1"/>
    </xf>
    <xf numFmtId="3" fontId="44" fillId="43" borderId="92" xfId="6" applyNumberFormat="1" applyFont="1" applyFill="1" applyBorder="1" applyAlignment="1">
      <alignment horizontal="center" vertical="center" wrapText="1"/>
    </xf>
    <xf numFmtId="3" fontId="44" fillId="0" borderId="92" xfId="6" applyNumberFormat="1" applyFont="1" applyBorder="1" applyProtection="1"/>
    <xf numFmtId="3" fontId="44" fillId="0" borderId="0" xfId="6" applyNumberFormat="1" applyFont="1"/>
    <xf numFmtId="0" fontId="44" fillId="13" borderId="92" xfId="12" applyFont="1" applyFill="1" applyBorder="1" applyAlignment="1">
      <alignment horizontal="center" vertical="center" wrapText="1"/>
    </xf>
    <xf numFmtId="0" fontId="46" fillId="13" borderId="92" xfId="12" applyFont="1" applyFill="1" applyBorder="1" applyAlignment="1">
      <alignment horizontal="center" vertical="center" wrapText="1"/>
    </xf>
    <xf numFmtId="0" fontId="44" fillId="13" borderId="92" xfId="11" applyFont="1" applyFill="1" applyBorder="1" applyAlignment="1">
      <alignment horizontal="center" vertical="center" wrapText="1"/>
    </xf>
    <xf numFmtId="3" fontId="51" fillId="13" borderId="92" xfId="6" applyNumberFormat="1" applyFont="1" applyFill="1" applyBorder="1" applyAlignment="1">
      <alignment horizontal="right" vertical="center"/>
    </xf>
    <xf numFmtId="3" fontId="51" fillId="43" borderId="92" xfId="6" applyNumberFormat="1" applyFont="1" applyFill="1" applyBorder="1" applyAlignment="1">
      <alignment horizontal="right" vertical="center"/>
    </xf>
    <xf numFmtId="2" fontId="44" fillId="0" borderId="0" xfId="6" applyNumberFormat="1" applyFont="1"/>
    <xf numFmtId="0" fontId="44" fillId="14" borderId="92" xfId="12" applyFont="1" applyFill="1" applyBorder="1" applyAlignment="1">
      <alignment horizontal="center" vertical="center" wrapText="1"/>
    </xf>
    <xf numFmtId="0" fontId="93" fillId="14" borderId="92" xfId="12" applyFont="1" applyFill="1" applyBorder="1" applyAlignment="1">
      <alignment horizontal="center" vertical="center" wrapText="1"/>
    </xf>
    <xf numFmtId="3" fontId="44" fillId="26" borderId="92" xfId="12" applyNumberFormat="1" applyFont="1" applyFill="1" applyBorder="1" applyAlignment="1">
      <alignment horizontal="center" vertical="center" wrapText="1"/>
    </xf>
    <xf numFmtId="3" fontId="51" fillId="14" borderId="92" xfId="6" applyNumberFormat="1" applyFont="1" applyFill="1" applyBorder="1" applyAlignment="1">
      <alignment horizontal="right" vertical="center"/>
    </xf>
    <xf numFmtId="0" fontId="44" fillId="15" borderId="92" xfId="12" applyFont="1" applyFill="1" applyBorder="1" applyAlignment="1">
      <alignment horizontal="center" vertical="center" wrapText="1"/>
    </xf>
    <xf numFmtId="0" fontId="52" fillId="15" borderId="92" xfId="12" applyFont="1" applyFill="1" applyBorder="1" applyAlignment="1">
      <alignment horizontal="left" vertical="center" wrapText="1"/>
    </xf>
    <xf numFmtId="0" fontId="94" fillId="15" borderId="92" xfId="12" applyFont="1" applyFill="1" applyBorder="1" applyAlignment="1">
      <alignment horizontal="center" vertical="center" wrapText="1"/>
    </xf>
    <xf numFmtId="3" fontId="51" fillId="15" borderId="92" xfId="6" applyNumberFormat="1" applyFont="1" applyFill="1" applyBorder="1" applyAlignment="1">
      <alignment horizontal="right" vertical="center"/>
    </xf>
    <xf numFmtId="3" fontId="44" fillId="15" borderId="92" xfId="6" applyNumberFormat="1" applyFont="1" applyFill="1" applyBorder="1"/>
    <xf numFmtId="0" fontId="44" fillId="0" borderId="92" xfId="12" applyFont="1" applyBorder="1" applyAlignment="1">
      <alignment horizontal="center" vertical="center" wrapText="1"/>
    </xf>
    <xf numFmtId="3" fontId="51" fillId="41" borderId="92" xfId="6" applyNumberFormat="1" applyFont="1" applyFill="1" applyBorder="1" applyAlignment="1">
      <alignment horizontal="right" vertical="center"/>
    </xf>
    <xf numFmtId="3" fontId="51" fillId="0" borderId="92" xfId="6" applyNumberFormat="1" applyFont="1" applyBorder="1" applyAlignment="1" applyProtection="1">
      <alignment horizontal="right" vertical="center"/>
    </xf>
    <xf numFmtId="3" fontId="51" fillId="26" borderId="92" xfId="6" applyNumberFormat="1" applyFont="1" applyFill="1" applyBorder="1" applyAlignment="1">
      <alignment horizontal="right" vertical="center"/>
    </xf>
    <xf numFmtId="0" fontId="44" fillId="0" borderId="92" xfId="12" applyFont="1" applyFill="1" applyBorder="1" applyAlignment="1">
      <alignment horizontal="center" vertical="center" wrapText="1"/>
    </xf>
    <xf numFmtId="3" fontId="51" fillId="0" borderId="92" xfId="6" applyNumberFormat="1" applyFont="1" applyBorder="1" applyAlignment="1">
      <alignment horizontal="right" vertical="center"/>
    </xf>
    <xf numFmtId="0" fontId="44" fillId="16" borderId="92" xfId="12" applyFont="1" applyFill="1" applyBorder="1" applyAlignment="1">
      <alignment horizontal="center" vertical="center" wrapText="1"/>
    </xf>
    <xf numFmtId="3" fontId="44" fillId="16" borderId="92" xfId="6" applyNumberFormat="1" applyFont="1" applyFill="1" applyBorder="1" applyAlignment="1">
      <alignment horizontal="center" vertical="center" wrapText="1"/>
    </xf>
    <xf numFmtId="3" fontId="51" fillId="16" borderId="92" xfId="6" applyNumberFormat="1" applyFont="1" applyFill="1" applyBorder="1" applyAlignment="1">
      <alignment horizontal="right" vertical="center"/>
    </xf>
    <xf numFmtId="3" fontId="44" fillId="16" borderId="92" xfId="6" applyNumberFormat="1" applyFont="1" applyFill="1" applyBorder="1"/>
    <xf numFmtId="0" fontId="44" fillId="12" borderId="92" xfId="12" applyFont="1" applyFill="1" applyBorder="1" applyAlignment="1">
      <alignment horizontal="center" vertical="center" wrapText="1"/>
    </xf>
    <xf numFmtId="0" fontId="52" fillId="15" borderId="92" xfId="12" applyFont="1" applyFill="1" applyBorder="1" applyAlignment="1">
      <alignment horizontal="center" vertical="center"/>
    </xf>
    <xf numFmtId="0" fontId="52" fillId="15" borderId="92" xfId="12" applyFont="1" applyFill="1" applyBorder="1" applyAlignment="1">
      <alignment horizontal="center" vertical="center" wrapText="1"/>
    </xf>
    <xf numFmtId="3" fontId="94" fillId="15" borderId="92" xfId="12" applyNumberFormat="1" applyFont="1" applyFill="1" applyBorder="1" applyAlignment="1">
      <alignment horizontal="center" vertical="center" wrapText="1"/>
    </xf>
    <xf numFmtId="3" fontId="44" fillId="26" borderId="92" xfId="6" quotePrefix="1" applyNumberFormat="1" applyFont="1" applyFill="1" applyBorder="1" applyAlignment="1">
      <alignment horizontal="center" vertical="center" wrapText="1"/>
    </xf>
    <xf numFmtId="0" fontId="52" fillId="14" borderId="92" xfId="12" applyFont="1" applyFill="1" applyBorder="1" applyAlignment="1">
      <alignment horizontal="center" vertical="center" wrapText="1"/>
    </xf>
    <xf numFmtId="10" fontId="94" fillId="14" borderId="92" xfId="12" applyNumberFormat="1" applyFont="1" applyFill="1" applyBorder="1" applyAlignment="1">
      <alignment horizontal="center" vertical="center" wrapText="1"/>
    </xf>
    <xf numFmtId="3" fontId="51" fillId="12" borderId="92" xfId="6" applyNumberFormat="1" applyFont="1" applyFill="1" applyBorder="1" applyAlignment="1" applyProtection="1">
      <alignment horizontal="right" vertical="center"/>
    </xf>
    <xf numFmtId="0" fontId="52" fillId="0" borderId="92" xfId="12" applyFont="1" applyFill="1" applyBorder="1" applyAlignment="1">
      <alignment horizontal="center" vertical="center" wrapText="1"/>
    </xf>
    <xf numFmtId="0" fontId="44" fillId="0" borderId="92" xfId="12" applyFont="1" applyFill="1" applyBorder="1" applyAlignment="1">
      <alignment vertical="center" wrapText="1"/>
    </xf>
    <xf numFmtId="0" fontId="44" fillId="0" borderId="0" xfId="6" applyFont="1" applyBorder="1"/>
    <xf numFmtId="0" fontId="47" fillId="0" borderId="0" xfId="6" applyFont="1"/>
    <xf numFmtId="10" fontId="44" fillId="0" borderId="0" xfId="6" applyNumberFormat="1" applyFont="1"/>
    <xf numFmtId="0" fontId="70" fillId="0" borderId="94" xfId="2" applyFont="1" applyFill="1" applyBorder="1" applyAlignment="1">
      <alignment horizontal="center"/>
    </xf>
    <xf numFmtId="0" fontId="70" fillId="0" borderId="93" xfId="2" applyFont="1" applyFill="1" applyBorder="1" applyAlignment="1">
      <alignment horizontal="center"/>
    </xf>
    <xf numFmtId="0" fontId="70" fillId="0" borderId="92" xfId="2" applyFont="1" applyBorder="1" applyAlignment="1">
      <alignment horizontal="center"/>
    </xf>
    <xf numFmtId="0" fontId="70" fillId="0" borderId="94" xfId="2" applyFont="1" applyBorder="1" applyAlignment="1">
      <alignment horizontal="center"/>
    </xf>
    <xf numFmtId="9" fontId="70" fillId="26" borderId="94" xfId="2" applyNumberFormat="1" applyFont="1" applyFill="1" applyBorder="1"/>
    <xf numFmtId="3" fontId="70" fillId="26" borderId="94" xfId="2" applyNumberFormat="1" applyFont="1" applyFill="1" applyBorder="1"/>
    <xf numFmtId="167" fontId="70" fillId="26" borderId="94" xfId="2" applyNumberFormat="1" applyFont="1" applyFill="1" applyBorder="1"/>
    <xf numFmtId="0" fontId="68" fillId="27" borderId="94" xfId="2" applyFont="1" applyFill="1" applyBorder="1"/>
    <xf numFmtId="0" fontId="70" fillId="0" borderId="94" xfId="2" applyFont="1" applyBorder="1"/>
    <xf numFmtId="3" fontId="60" fillId="9" borderId="51" xfId="0" applyNumberFormat="1" applyFont="1" applyFill="1" applyBorder="1" applyAlignment="1" applyProtection="1">
      <alignment horizontal="right" vertical="center"/>
      <protection hidden="1"/>
    </xf>
    <xf numFmtId="3" fontId="60" fillId="0" borderId="55" xfId="0" applyNumberFormat="1" applyFont="1" applyFill="1" applyBorder="1" applyAlignment="1" applyProtection="1">
      <alignment horizontal="right" vertical="center"/>
      <protection hidden="1"/>
    </xf>
    <xf numFmtId="3" fontId="60" fillId="0" borderId="24" xfId="0" applyNumberFormat="1" applyFont="1" applyFill="1" applyBorder="1" applyAlignment="1" applyProtection="1">
      <alignment horizontal="right" vertical="center"/>
      <protection hidden="1"/>
    </xf>
    <xf numFmtId="3" fontId="60" fillId="0" borderId="61" xfId="0" applyNumberFormat="1" applyFont="1" applyFill="1" applyBorder="1" applyAlignment="1" applyProtection="1">
      <alignment horizontal="right" vertical="center"/>
      <protection hidden="1"/>
    </xf>
    <xf numFmtId="3" fontId="69" fillId="0" borderId="42" xfId="0" applyNumberFormat="1" applyFont="1" applyFill="1" applyBorder="1" applyAlignment="1" applyProtection="1">
      <alignment horizontal="right"/>
      <protection hidden="1"/>
    </xf>
    <xf numFmtId="3" fontId="59" fillId="0" borderId="39" xfId="0" applyNumberFormat="1" applyFont="1" applyFill="1" applyBorder="1" applyAlignment="1" applyProtection="1">
      <alignment horizontal="right"/>
      <protection hidden="1"/>
    </xf>
    <xf numFmtId="3" fontId="59" fillId="0" borderId="42" xfId="0" applyNumberFormat="1" applyFont="1" applyFill="1" applyBorder="1" applyAlignment="1" applyProtection="1">
      <alignment horizontal="right"/>
      <protection hidden="1"/>
    </xf>
    <xf numFmtId="3" fontId="69" fillId="0" borderId="71" xfId="0" applyNumberFormat="1" applyFont="1" applyFill="1" applyBorder="1" applyAlignment="1" applyProtection="1">
      <alignment horizontal="right"/>
      <protection hidden="1"/>
    </xf>
    <xf numFmtId="165" fontId="59" fillId="26" borderId="35" xfId="0" applyNumberFormat="1" applyFont="1" applyFill="1" applyBorder="1" applyAlignment="1" applyProtection="1">
      <alignment horizontal="right"/>
      <protection hidden="1"/>
    </xf>
    <xf numFmtId="3" fontId="60" fillId="10" borderId="71" xfId="0" applyNumberFormat="1" applyFont="1" applyFill="1" applyBorder="1" applyAlignment="1" applyProtection="1">
      <alignment horizontal="right" vertical="center"/>
      <protection hidden="1"/>
    </xf>
    <xf numFmtId="3" fontId="59" fillId="0" borderId="39" xfId="0" applyNumberFormat="1" applyFont="1" applyFill="1" applyBorder="1" applyAlignment="1" applyProtection="1">
      <alignment horizontal="right" vertical="center"/>
      <protection hidden="1"/>
    </xf>
    <xf numFmtId="3" fontId="59" fillId="0" borderId="24" xfId="0" applyNumberFormat="1" applyFont="1" applyFill="1" applyBorder="1" applyAlignment="1" applyProtection="1">
      <alignment horizontal="right" vertical="center"/>
      <protection hidden="1"/>
    </xf>
    <xf numFmtId="3" fontId="59" fillId="0" borderId="42" xfId="0" applyNumberFormat="1" applyFont="1" applyFill="1" applyBorder="1" applyAlignment="1" applyProtection="1">
      <alignment horizontal="right" vertical="center"/>
      <protection hidden="1"/>
    </xf>
    <xf numFmtId="3" fontId="60" fillId="0" borderId="39" xfId="0" applyNumberFormat="1" applyFont="1" applyFill="1" applyBorder="1" applyAlignment="1" applyProtection="1">
      <alignment horizontal="right" vertical="center"/>
      <protection hidden="1"/>
    </xf>
    <xf numFmtId="3" fontId="60" fillId="0" borderId="26" xfId="0" applyNumberFormat="1" applyFont="1" applyFill="1" applyBorder="1" applyAlignment="1" applyProtection="1">
      <alignment horizontal="right" vertical="center"/>
      <protection hidden="1"/>
    </xf>
    <xf numFmtId="3" fontId="59" fillId="0" borderId="80" xfId="0" applyNumberFormat="1" applyFont="1" applyBorder="1" applyAlignment="1" applyProtection="1">
      <alignment horizontal="right"/>
      <protection hidden="1"/>
    </xf>
    <xf numFmtId="3" fontId="59" fillId="0" borderId="24" xfId="0" applyNumberFormat="1" applyFont="1" applyBorder="1" applyAlignment="1" applyProtection="1">
      <alignment horizontal="right"/>
      <protection hidden="1"/>
    </xf>
    <xf numFmtId="3" fontId="59" fillId="0" borderId="81" xfId="0" applyNumberFormat="1" applyFont="1" applyBorder="1" applyAlignment="1" applyProtection="1">
      <alignment horizontal="right"/>
      <protection hidden="1"/>
    </xf>
    <xf numFmtId="3" fontId="44" fillId="44" borderId="92" xfId="6" applyNumberFormat="1" applyFont="1" applyFill="1" applyBorder="1" applyAlignment="1">
      <alignment horizontal="center" vertical="center" wrapText="1"/>
    </xf>
    <xf numFmtId="164" fontId="44" fillId="44" borderId="92" xfId="6" applyNumberFormat="1" applyFont="1" applyFill="1" applyBorder="1" applyAlignment="1">
      <alignment horizontal="center" vertical="center" wrapText="1"/>
    </xf>
    <xf numFmtId="3" fontId="44" fillId="44" borderId="92" xfId="12" applyNumberFormat="1" applyFont="1" applyFill="1" applyBorder="1" applyAlignment="1">
      <alignment horizontal="center" vertical="center" wrapText="1"/>
    </xf>
    <xf numFmtId="3" fontId="44" fillId="45" borderId="92" xfId="12" applyNumberFormat="1" applyFont="1" applyFill="1" applyBorder="1" applyAlignment="1">
      <alignment horizontal="center" vertical="center" wrapText="1"/>
    </xf>
    <xf numFmtId="3" fontId="44" fillId="45" borderId="92" xfId="6" applyNumberFormat="1" applyFont="1" applyFill="1" applyBorder="1" applyAlignment="1">
      <alignment horizontal="center" vertical="center" wrapText="1"/>
    </xf>
    <xf numFmtId="3" fontId="44" fillId="46" borderId="92" xfId="6" applyNumberFormat="1" applyFont="1" applyFill="1" applyBorder="1" applyAlignment="1">
      <alignment horizontal="center" vertical="center" wrapText="1"/>
    </xf>
    <xf numFmtId="3" fontId="44" fillId="47" borderId="92" xfId="6" applyNumberFormat="1" applyFont="1" applyFill="1" applyBorder="1" applyAlignment="1">
      <alignment horizontal="center" vertical="center" wrapText="1"/>
    </xf>
    <xf numFmtId="3" fontId="44" fillId="26" borderId="92" xfId="6" applyNumberFormat="1" applyFont="1" applyFill="1" applyBorder="1" applyAlignment="1">
      <alignment horizontal="right"/>
    </xf>
    <xf numFmtId="3" fontId="44" fillId="26" borderId="92" xfId="6" applyNumberFormat="1" applyFont="1" applyFill="1" applyBorder="1"/>
    <xf numFmtId="3" fontId="50" fillId="0" borderId="92" xfId="6" applyNumberFormat="1" applyFont="1" applyBorder="1" applyAlignment="1">
      <alignment horizontal="right"/>
    </xf>
    <xf numFmtId="166" fontId="77" fillId="26" borderId="0" xfId="2" applyNumberFormat="1" applyFont="1" applyFill="1" applyBorder="1" applyAlignment="1">
      <alignment horizontal="left" wrapText="1"/>
    </xf>
    <xf numFmtId="0" fontId="70" fillId="0" borderId="0" xfId="2" applyFont="1" applyAlignment="1">
      <alignment horizontal="right"/>
    </xf>
    <xf numFmtId="0" fontId="95" fillId="0" borderId="0" xfId="2" applyFont="1"/>
    <xf numFmtId="0" fontId="95" fillId="25" borderId="149" xfId="2" applyFont="1" applyFill="1" applyBorder="1" applyAlignment="1">
      <alignment horizontal="center" vertical="center" wrapText="1"/>
    </xf>
    <xf numFmtId="0" fontId="95" fillId="25" borderId="151" xfId="2" applyFont="1" applyFill="1" applyBorder="1" applyAlignment="1">
      <alignment horizontal="center" vertical="center" wrapText="1"/>
    </xf>
    <xf numFmtId="0" fontId="95" fillId="48" borderId="149" xfId="2" applyFont="1" applyFill="1" applyBorder="1" applyAlignment="1">
      <alignment horizontal="center" vertical="center" wrapText="1"/>
    </xf>
    <xf numFmtId="0" fontId="95" fillId="0" borderId="95" xfId="2" applyFont="1" applyFill="1" applyBorder="1" applyAlignment="1">
      <alignment horizontal="center"/>
    </xf>
    <xf numFmtId="0" fontId="95" fillId="0" borderId="152" xfId="2" applyFont="1" applyFill="1" applyBorder="1" applyAlignment="1">
      <alignment horizontal="center"/>
    </xf>
    <xf numFmtId="0" fontId="95" fillId="0" borderId="92" xfId="2" applyFont="1" applyFill="1" applyBorder="1" applyAlignment="1">
      <alignment horizontal="center"/>
    </xf>
    <xf numFmtId="0" fontId="95" fillId="26" borderId="152" xfId="2" applyFont="1" applyFill="1" applyBorder="1" applyAlignment="1">
      <alignment horizontal="center"/>
    </xf>
    <xf numFmtId="0" fontId="95" fillId="26" borderId="92" xfId="2" applyFont="1" applyFill="1" applyBorder="1" applyAlignment="1">
      <alignment horizontal="center"/>
    </xf>
    <xf numFmtId="0" fontId="95" fillId="0" borderId="93" xfId="2" applyFont="1" applyBorder="1" applyAlignment="1">
      <alignment horizontal="center"/>
    </xf>
    <xf numFmtId="0" fontId="95" fillId="0" borderId="92" xfId="2" applyFont="1" applyBorder="1" applyAlignment="1">
      <alignment horizontal="center"/>
    </xf>
    <xf numFmtId="0" fontId="95" fillId="0" borderId="95" xfId="2" applyFont="1" applyBorder="1" applyAlignment="1">
      <alignment horizontal="center"/>
    </xf>
    <xf numFmtId="0" fontId="95" fillId="0" borderId="152" xfId="2" applyFont="1" applyBorder="1" applyAlignment="1">
      <alignment horizontal="center"/>
    </xf>
    <xf numFmtId="0" fontId="95" fillId="0" borderId="94" xfId="2" applyFont="1" applyBorder="1" applyAlignment="1">
      <alignment horizontal="center"/>
    </xf>
    <xf numFmtId="0" fontId="59" fillId="0" borderId="95" xfId="2" applyFont="1" applyBorder="1" applyAlignment="1">
      <alignment horizontal="center" vertical="center"/>
    </xf>
    <xf numFmtId="0" fontId="70" fillId="0" borderId="152" xfId="2" applyFont="1" applyBorder="1" applyAlignment="1">
      <alignment wrapText="1"/>
    </xf>
    <xf numFmtId="9" fontId="70" fillId="0" borderId="92" xfId="2" applyNumberFormat="1" applyFont="1" applyBorder="1"/>
    <xf numFmtId="9" fontId="70" fillId="0" borderId="95" xfId="2" applyNumberFormat="1" applyFont="1" applyBorder="1"/>
    <xf numFmtId="3" fontId="70" fillId="26" borderId="152" xfId="2" applyNumberFormat="1" applyFont="1" applyFill="1" applyBorder="1"/>
    <xf numFmtId="3" fontId="70" fillId="0" borderId="93" xfId="2" applyNumberFormat="1" applyFont="1" applyBorder="1"/>
    <xf numFmtId="3" fontId="70" fillId="0" borderId="95" xfId="2" applyNumberFormat="1" applyFont="1" applyBorder="1" applyAlignment="1"/>
    <xf numFmtId="3" fontId="70" fillId="0" borderId="152" xfId="2" applyNumberFormat="1" applyFont="1" applyBorder="1"/>
    <xf numFmtId="0" fontId="70" fillId="0" borderId="95" xfId="2" applyFont="1" applyBorder="1" applyAlignment="1">
      <alignment horizontal="center" vertical="center"/>
    </xf>
    <xf numFmtId="3" fontId="70" fillId="0" borderId="92" xfId="2" applyNumberFormat="1" applyFont="1" applyBorder="1"/>
    <xf numFmtId="0" fontId="70" fillId="26" borderId="92" xfId="2" applyNumberFormat="1" applyFont="1" applyFill="1" applyBorder="1" applyAlignment="1">
      <alignment horizontal="right"/>
    </xf>
    <xf numFmtId="3" fontId="70" fillId="0" borderId="95" xfId="2" applyNumberFormat="1" applyFont="1" applyFill="1" applyBorder="1" applyAlignment="1"/>
    <xf numFmtId="3" fontId="70" fillId="0" borderId="94" xfId="2" applyNumberFormat="1" applyFont="1" applyFill="1" applyBorder="1" applyAlignment="1"/>
    <xf numFmtId="167" fontId="70" fillId="0" borderId="92" xfId="2" applyNumberFormat="1" applyFont="1" applyBorder="1"/>
    <xf numFmtId="167" fontId="70" fillId="0" borderId="95" xfId="2" applyNumberFormat="1" applyFont="1" applyBorder="1"/>
    <xf numFmtId="0" fontId="70" fillId="26" borderId="95" xfId="2" applyFont="1" applyFill="1" applyBorder="1" applyAlignment="1">
      <alignment horizontal="center" vertical="center"/>
    </xf>
    <xf numFmtId="0" fontId="70" fillId="43" borderId="152" xfId="2" applyFont="1" applyFill="1" applyBorder="1" applyAlignment="1">
      <alignment wrapText="1"/>
    </xf>
    <xf numFmtId="0" fontId="70" fillId="43" borderId="92" xfId="2" applyFont="1" applyFill="1" applyBorder="1" applyAlignment="1">
      <alignment wrapText="1"/>
    </xf>
    <xf numFmtId="0" fontId="70" fillId="43" borderId="92" xfId="2" applyFont="1" applyFill="1" applyBorder="1"/>
    <xf numFmtId="0" fontId="70" fillId="43" borderId="95" xfId="2" applyFont="1" applyFill="1" applyBorder="1"/>
    <xf numFmtId="3" fontId="62" fillId="43" borderId="152" xfId="2" applyNumberFormat="1" applyFont="1" applyFill="1" applyBorder="1"/>
    <xf numFmtId="3" fontId="70" fillId="43" borderId="92" xfId="2" applyNumberFormat="1" applyFont="1" applyFill="1" applyBorder="1" applyAlignment="1"/>
    <xf numFmtId="3" fontId="70" fillId="43" borderId="94" xfId="2" applyNumberFormat="1" applyFont="1" applyFill="1" applyBorder="1" applyAlignment="1"/>
    <xf numFmtId="3" fontId="70" fillId="43" borderId="93" xfId="2" applyNumberFormat="1" applyFont="1" applyFill="1" applyBorder="1"/>
    <xf numFmtId="3" fontId="70" fillId="43" borderId="95" xfId="2" applyNumberFormat="1" applyFont="1" applyFill="1" applyBorder="1" applyAlignment="1"/>
    <xf numFmtId="3" fontId="70" fillId="43" borderId="152" xfId="2" applyNumberFormat="1" applyFont="1" applyFill="1" applyBorder="1"/>
    <xf numFmtId="0" fontId="70" fillId="26" borderId="0" xfId="2" applyFont="1" applyFill="1"/>
    <xf numFmtId="0" fontId="70" fillId="0" borderId="153" xfId="2" applyFont="1" applyBorder="1" applyAlignment="1">
      <alignment wrapText="1"/>
    </xf>
    <xf numFmtId="0" fontId="70" fillId="0" borderId="154" xfId="2" applyFont="1" applyBorder="1" applyAlignment="1">
      <alignment wrapText="1"/>
    </xf>
    <xf numFmtId="0" fontId="70" fillId="0" borderId="154" xfId="2" applyFont="1" applyBorder="1"/>
    <xf numFmtId="0" fontId="70" fillId="0" borderId="155" xfId="2" applyFont="1" applyBorder="1"/>
    <xf numFmtId="0" fontId="70" fillId="26" borderId="153" xfId="2" applyFont="1" applyFill="1" applyBorder="1"/>
    <xf numFmtId="3" fontId="70" fillId="26" borderId="154" xfId="2" applyNumberFormat="1" applyFont="1" applyFill="1" applyBorder="1" applyAlignment="1"/>
    <xf numFmtId="0" fontId="70" fillId="0" borderId="156" xfId="2" applyFont="1" applyBorder="1"/>
    <xf numFmtId="3" fontId="70" fillId="0" borderId="154" xfId="2" applyNumberFormat="1" applyFont="1" applyBorder="1" applyAlignment="1"/>
    <xf numFmtId="3" fontId="70" fillId="0" borderId="155" xfId="2" applyNumberFormat="1" applyFont="1" applyBorder="1" applyAlignment="1"/>
    <xf numFmtId="0" fontId="70" fillId="0" borderId="153" xfId="2" applyFont="1" applyBorder="1"/>
    <xf numFmtId="3" fontId="70" fillId="0" borderId="157" xfId="2" applyNumberFormat="1" applyFont="1" applyBorder="1" applyAlignment="1"/>
    <xf numFmtId="3" fontId="70" fillId="26" borderId="0" xfId="2" applyNumberFormat="1" applyFont="1" applyFill="1"/>
    <xf numFmtId="3" fontId="70" fillId="0" borderId="0" xfId="2" applyNumberFormat="1" applyFont="1" applyAlignment="1">
      <alignment horizontal="center"/>
    </xf>
    <xf numFmtId="4" fontId="34" fillId="0" borderId="158" xfId="0" applyNumberFormat="1" applyFont="1" applyFill="1" applyBorder="1" applyAlignment="1" applyProtection="1">
      <alignment horizontal="right" vertical="center"/>
      <protection locked="0"/>
    </xf>
    <xf numFmtId="3" fontId="67" fillId="19" borderId="32" xfId="0" applyNumberFormat="1" applyFont="1" applyFill="1" applyBorder="1" applyAlignment="1" applyProtection="1"/>
    <xf numFmtId="4" fontId="34" fillId="25" borderId="158" xfId="0" applyNumberFormat="1" applyFont="1" applyFill="1" applyBorder="1" applyAlignment="1" applyProtection="1">
      <alignment horizontal="right" vertical="center"/>
      <protection locked="0"/>
    </xf>
    <xf numFmtId="4" fontId="67" fillId="0" borderId="158" xfId="8" applyNumberFormat="1" applyFont="1" applyFill="1" applyBorder="1" applyAlignment="1" applyProtection="1">
      <alignment horizontal="right" vertical="center"/>
      <protection locked="0"/>
    </xf>
    <xf numFmtId="3" fontId="69" fillId="19" borderId="32" xfId="0" applyNumberFormat="1" applyFont="1" applyFill="1" applyBorder="1" applyAlignment="1" applyProtection="1">
      <alignment horizontal="right"/>
    </xf>
    <xf numFmtId="3" fontId="69" fillId="19" borderId="32" xfId="0" applyNumberFormat="1" applyFont="1" applyFill="1" applyBorder="1" applyAlignment="1" applyProtection="1"/>
    <xf numFmtId="3" fontId="67" fillId="19" borderId="32" xfId="0" applyNumberFormat="1" applyFont="1" applyFill="1" applyBorder="1" applyAlignment="1" applyProtection="1">
      <alignment horizontal="right"/>
    </xf>
    <xf numFmtId="3" fontId="69" fillId="19" borderId="34" xfId="0" applyNumberFormat="1" applyFont="1" applyFill="1" applyBorder="1" applyAlignment="1" applyProtection="1"/>
    <xf numFmtId="3" fontId="63" fillId="19" borderId="36" xfId="0" applyNumberFormat="1" applyFont="1" applyFill="1" applyBorder="1" applyAlignment="1" applyProtection="1"/>
    <xf numFmtId="4" fontId="67" fillId="36" borderId="0" xfId="8" applyNumberFormat="1" applyFont="1" applyFill="1" applyBorder="1" applyAlignment="1" applyProtection="1">
      <alignment horizontal="right" vertical="center"/>
      <protection locked="0"/>
    </xf>
    <xf numFmtId="49" fontId="67" fillId="2" borderId="34" xfId="0" applyNumberFormat="1" applyFont="1" applyFill="1" applyBorder="1" applyAlignment="1" applyProtection="1">
      <alignment horizontal="center"/>
      <protection locked="0"/>
    </xf>
    <xf numFmtId="4" fontId="67" fillId="2" borderId="0" xfId="0" applyNumberFormat="1" applyFont="1" applyFill="1" applyBorder="1" applyAlignment="1">
      <alignment horizontal="center"/>
    </xf>
    <xf numFmtId="4" fontId="67" fillId="30" borderId="0" xfId="0" applyNumberFormat="1" applyFont="1" applyFill="1" applyBorder="1" applyAlignment="1">
      <alignment horizontal="center"/>
    </xf>
    <xf numFmtId="4" fontId="0" fillId="0" borderId="158" xfId="0" applyNumberFormat="1" applyFont="1" applyFill="1" applyBorder="1" applyAlignment="1" applyProtection="1">
      <alignment vertical="center"/>
      <protection locked="0"/>
    </xf>
    <xf numFmtId="49" fontId="67" fillId="2" borderId="36" xfId="0" applyNumberFormat="1" applyFont="1" applyFill="1" applyBorder="1" applyAlignment="1" applyProtection="1">
      <alignment horizontal="center"/>
      <protection locked="0"/>
    </xf>
    <xf numFmtId="3" fontId="59" fillId="19" borderId="32" xfId="0" applyNumberFormat="1" applyFont="1" applyFill="1" applyBorder="1" applyAlignment="1" applyProtection="1"/>
    <xf numFmtId="4" fontId="38" fillId="25" borderId="158" xfId="0" applyNumberFormat="1" applyFont="1" applyFill="1" applyBorder="1" applyAlignment="1" applyProtection="1">
      <alignment horizontal="right" vertical="center"/>
      <protection locked="0"/>
    </xf>
    <xf numFmtId="4" fontId="38" fillId="36" borderId="0" xfId="0" applyNumberFormat="1" applyFont="1" applyFill="1" applyBorder="1" applyAlignment="1" applyProtection="1">
      <alignment horizontal="right" vertical="center"/>
      <protection locked="0"/>
    </xf>
    <xf numFmtId="4" fontId="34" fillId="25" borderId="158" xfId="0" applyNumberFormat="1" applyFont="1" applyFill="1" applyBorder="1" applyAlignment="1" applyProtection="1">
      <alignment vertical="center"/>
      <protection locked="0"/>
    </xf>
    <xf numFmtId="4" fontId="34" fillId="25" borderId="159" xfId="0" applyNumberFormat="1" applyFont="1" applyFill="1" applyBorder="1" applyAlignment="1" applyProtection="1">
      <alignment vertical="center"/>
      <protection locked="0"/>
    </xf>
    <xf numFmtId="4" fontId="3" fillId="25" borderId="158" xfId="0" applyNumberFormat="1" applyFont="1" applyFill="1" applyBorder="1" applyAlignment="1" applyProtection="1">
      <alignment horizontal="right" vertical="center"/>
      <protection locked="0"/>
    </xf>
    <xf numFmtId="3" fontId="69" fillId="19" borderId="0" xfId="0" applyNumberFormat="1" applyFont="1" applyFill="1" applyBorder="1" applyAlignment="1" applyProtection="1"/>
    <xf numFmtId="4" fontId="5" fillId="25" borderId="158" xfId="0" applyNumberFormat="1" applyFont="1" applyFill="1" applyBorder="1" applyAlignment="1" applyProtection="1">
      <alignment horizontal="right" vertical="center"/>
      <protection locked="0"/>
    </xf>
    <xf numFmtId="4" fontId="5" fillId="25" borderId="160" xfId="0" applyNumberFormat="1" applyFont="1" applyFill="1" applyBorder="1" applyAlignment="1" applyProtection="1">
      <alignment horizontal="right" vertical="center"/>
      <protection locked="0"/>
    </xf>
    <xf numFmtId="3" fontId="60" fillId="17" borderId="25" xfId="0" applyNumberFormat="1" applyFont="1" applyFill="1" applyBorder="1" applyAlignment="1" applyProtection="1"/>
    <xf numFmtId="49" fontId="90" fillId="2" borderId="0" xfId="0" applyNumberFormat="1" applyFont="1" applyFill="1" applyBorder="1" applyAlignment="1" applyProtection="1">
      <alignment horizontal="center"/>
      <protection locked="0"/>
    </xf>
    <xf numFmtId="3" fontId="60" fillId="20" borderId="161" xfId="0" applyNumberFormat="1" applyFont="1" applyFill="1" applyBorder="1" applyAlignment="1" applyProtection="1">
      <alignment horizontal="right"/>
    </xf>
    <xf numFmtId="3" fontId="61" fillId="2" borderId="0" xfId="0" applyNumberFormat="1" applyFont="1" applyFill="1" applyBorder="1" applyAlignment="1" applyProtection="1">
      <alignment horizontal="center"/>
      <protection locked="0"/>
    </xf>
    <xf numFmtId="3" fontId="69" fillId="6" borderId="32" xfId="0" applyNumberFormat="1" applyFont="1" applyFill="1" applyBorder="1" applyAlignment="1" applyProtection="1"/>
    <xf numFmtId="3" fontId="75" fillId="2" borderId="0" xfId="0" applyNumberFormat="1" applyFont="1" applyFill="1" applyBorder="1" applyAlignment="1" applyProtection="1">
      <protection locked="0"/>
    </xf>
    <xf numFmtId="3" fontId="67" fillId="2" borderId="0" xfId="0" applyNumberFormat="1" applyFont="1" applyFill="1" applyBorder="1" applyAlignment="1" applyProtection="1"/>
    <xf numFmtId="3" fontId="60" fillId="2" borderId="0" xfId="0" applyNumberFormat="1" applyFont="1" applyFill="1" applyBorder="1" applyAlignment="1" applyProtection="1">
      <alignment horizontal="center"/>
      <protection locked="0"/>
    </xf>
    <xf numFmtId="3" fontId="69" fillId="2" borderId="0" xfId="0" applyNumberFormat="1" applyFont="1" applyFill="1" applyBorder="1" applyAlignment="1" applyProtection="1">
      <alignment horizontal="right" vertical="center"/>
      <protection locked="0"/>
    </xf>
    <xf numFmtId="3" fontId="69" fillId="22" borderId="0" xfId="0" applyNumberFormat="1" applyFont="1" applyFill="1" applyBorder="1" applyAlignment="1" applyProtection="1">
      <alignment horizontal="right"/>
      <protection locked="0"/>
    </xf>
    <xf numFmtId="3" fontId="69" fillId="2" borderId="0" xfId="0" applyNumberFormat="1" applyFont="1" applyFill="1" applyBorder="1" applyAlignment="1" applyProtection="1">
      <alignment horizontal="right"/>
      <protection locked="0"/>
    </xf>
    <xf numFmtId="3" fontId="69" fillId="0" borderId="0" xfId="0" applyNumberFormat="1" applyFont="1" applyFill="1" applyBorder="1" applyAlignment="1" applyProtection="1">
      <alignment horizontal="right" vertical="center"/>
    </xf>
    <xf numFmtId="3" fontId="67" fillId="22" borderId="0" xfId="0" applyNumberFormat="1" applyFont="1" applyFill="1" applyBorder="1" applyAlignment="1" applyProtection="1">
      <alignment horizontal="right"/>
      <protection locked="0"/>
    </xf>
    <xf numFmtId="3" fontId="66" fillId="2" borderId="2" xfId="0" applyNumberFormat="1" applyFont="1" applyFill="1" applyBorder="1" applyAlignment="1" applyProtection="1">
      <alignment horizontal="right"/>
      <protection locked="0"/>
    </xf>
    <xf numFmtId="3" fontId="60" fillId="20" borderId="25" xfId="0" applyNumberFormat="1" applyFont="1" applyFill="1" applyBorder="1" applyAlignment="1" applyProtection="1"/>
    <xf numFmtId="3" fontId="66" fillId="2" borderId="0" xfId="0" applyNumberFormat="1" applyFont="1" applyFill="1" applyBorder="1" applyAlignment="1" applyProtection="1">
      <alignment horizontal="right"/>
      <protection locked="0"/>
    </xf>
    <xf numFmtId="3" fontId="69" fillId="6" borderId="32" xfId="0" applyNumberFormat="1" applyFont="1" applyFill="1" applyBorder="1" applyAlignment="1" applyProtection="1">
      <alignment horizontal="right"/>
    </xf>
    <xf numFmtId="3" fontId="67" fillId="6" borderId="32" xfId="0" applyNumberFormat="1" applyFont="1" applyFill="1" applyBorder="1" applyAlignment="1" applyProtection="1"/>
    <xf numFmtId="3" fontId="67" fillId="22" borderId="0" xfId="0" applyNumberFormat="1" applyFont="1" applyFill="1" applyBorder="1" applyAlignment="1" applyProtection="1"/>
    <xf numFmtId="49" fontId="67" fillId="2" borderId="33" xfId="0" applyNumberFormat="1" applyFont="1" applyFill="1" applyBorder="1" applyAlignment="1">
      <alignment horizontal="center"/>
    </xf>
    <xf numFmtId="49" fontId="67" fillId="2" borderId="26" xfId="0" applyNumberFormat="1" applyFont="1" applyFill="1" applyBorder="1" applyAlignment="1">
      <alignment horizontal="center"/>
    </xf>
    <xf numFmtId="49" fontId="67" fillId="19" borderId="31" xfId="0" applyNumberFormat="1" applyFont="1" applyFill="1" applyBorder="1" applyAlignment="1">
      <alignment horizontal="center"/>
    </xf>
    <xf numFmtId="49" fontId="67" fillId="2" borderId="26" xfId="0" applyNumberFormat="1" applyFont="1" applyFill="1" applyBorder="1" applyAlignment="1" applyProtection="1">
      <alignment horizontal="center"/>
      <protection locked="0"/>
    </xf>
    <xf numFmtId="49" fontId="67" fillId="19" borderId="31" xfId="0" applyNumberFormat="1" applyFont="1" applyFill="1" applyBorder="1" applyAlignment="1" applyProtection="1">
      <alignment horizontal="center"/>
      <protection locked="0"/>
    </xf>
    <xf numFmtId="49" fontId="69" fillId="19" borderId="27" xfId="0" applyNumberFormat="1" applyFont="1" applyFill="1" applyBorder="1" applyAlignment="1">
      <alignment horizontal="center"/>
    </xf>
    <xf numFmtId="49" fontId="67" fillId="2" borderId="31" xfId="0" applyNumberFormat="1" applyFont="1" applyFill="1" applyBorder="1" applyAlignment="1">
      <alignment horizontal="center"/>
    </xf>
    <xf numFmtId="49" fontId="69" fillId="19" borderId="22" xfId="0" applyNumberFormat="1" applyFont="1" applyFill="1" applyBorder="1" applyAlignment="1">
      <alignment horizontal="center"/>
    </xf>
    <xf numFmtId="49" fontId="63" fillId="19" borderId="89" xfId="0" applyNumberFormat="1" applyFont="1" applyFill="1" applyBorder="1" applyAlignment="1">
      <alignment horizontal="center"/>
    </xf>
    <xf numFmtId="49" fontId="69" fillId="19" borderId="31" xfId="0" applyNumberFormat="1" applyFont="1" applyFill="1" applyBorder="1" applyAlignment="1">
      <alignment horizontal="center"/>
    </xf>
    <xf numFmtId="49" fontId="67" fillId="30" borderId="26" xfId="0" applyNumberFormat="1" applyFont="1" applyFill="1" applyBorder="1" applyAlignment="1">
      <alignment horizontal="center"/>
    </xf>
    <xf numFmtId="3" fontId="67" fillId="19" borderId="27" xfId="0" applyNumberFormat="1" applyFont="1" applyFill="1" applyBorder="1" applyAlignment="1">
      <alignment horizontal="center"/>
    </xf>
    <xf numFmtId="49" fontId="67" fillId="2" borderId="26" xfId="0" applyNumberFormat="1" applyFont="1" applyFill="1" applyBorder="1" applyAlignment="1">
      <alignment horizontal="center" vertical="center"/>
    </xf>
    <xf numFmtId="49" fontId="59" fillId="19" borderId="31" xfId="0" applyNumberFormat="1" applyFont="1" applyFill="1" applyBorder="1" applyAlignment="1">
      <alignment horizontal="center"/>
    </xf>
    <xf numFmtId="49" fontId="69" fillId="2" borderId="26" xfId="0" applyNumberFormat="1" applyFont="1" applyFill="1" applyBorder="1" applyAlignment="1" applyProtection="1">
      <alignment horizontal="center"/>
      <protection locked="0"/>
    </xf>
    <xf numFmtId="49" fontId="63" fillId="2" borderId="26" xfId="0" applyNumberFormat="1" applyFont="1" applyFill="1" applyBorder="1" applyAlignment="1" applyProtection="1">
      <alignment horizontal="center"/>
      <protection locked="0"/>
    </xf>
    <xf numFmtId="49" fontId="69" fillId="19" borderId="26" xfId="0" applyNumberFormat="1" applyFont="1" applyFill="1" applyBorder="1" applyAlignment="1">
      <alignment horizontal="center"/>
    </xf>
    <xf numFmtId="49" fontId="60" fillId="17" borderId="24" xfId="0" applyNumberFormat="1" applyFont="1" applyFill="1" applyBorder="1" applyAlignment="1">
      <alignment horizontal="center"/>
    </xf>
    <xf numFmtId="49" fontId="67" fillId="22" borderId="26" xfId="0" applyNumberFormat="1" applyFont="1" applyFill="1" applyBorder="1" applyAlignment="1">
      <alignment horizontal="center"/>
    </xf>
    <xf numFmtId="49" fontId="70" fillId="2" borderId="42" xfId="0" applyNumberFormat="1" applyFont="1" applyFill="1" applyBorder="1" applyAlignment="1" applyProtection="1">
      <alignment horizontal="center"/>
      <protection locked="0"/>
    </xf>
    <xf numFmtId="49" fontId="70" fillId="2" borderId="26" xfId="0" applyNumberFormat="1" applyFont="1" applyFill="1" applyBorder="1" applyAlignment="1" applyProtection="1">
      <alignment horizontal="center"/>
      <protection locked="0"/>
    </xf>
    <xf numFmtId="49" fontId="60" fillId="20" borderId="39" xfId="0" applyNumberFormat="1" applyFont="1" applyFill="1" applyBorder="1" applyAlignment="1">
      <alignment horizontal="center"/>
    </xf>
    <xf numFmtId="49" fontId="61" fillId="2" borderId="26" xfId="0" applyNumberFormat="1" applyFont="1" applyFill="1" applyBorder="1" applyAlignment="1" applyProtection="1">
      <alignment horizontal="center"/>
      <protection locked="0"/>
    </xf>
    <xf numFmtId="49" fontId="69" fillId="6" borderId="31" xfId="0" applyNumberFormat="1" applyFont="1" applyFill="1" applyBorder="1" applyAlignment="1">
      <alignment horizontal="center"/>
    </xf>
    <xf numFmtId="49" fontId="59" fillId="2" borderId="26" xfId="0" applyNumberFormat="1" applyFont="1" applyFill="1" applyBorder="1" applyAlignment="1">
      <alignment horizontal="center"/>
    </xf>
    <xf numFmtId="49" fontId="59" fillId="2" borderId="26" xfId="0" applyNumberFormat="1" applyFont="1" applyFill="1" applyBorder="1" applyAlignment="1" applyProtection="1">
      <alignment horizontal="center"/>
      <protection locked="0"/>
    </xf>
    <xf numFmtId="49" fontId="69" fillId="2" borderId="26" xfId="0" applyNumberFormat="1" applyFont="1" applyFill="1" applyBorder="1" applyAlignment="1">
      <alignment horizontal="center" vertical="center"/>
    </xf>
    <xf numFmtId="49" fontId="69" fillId="2" borderId="26" xfId="0" applyNumberFormat="1" applyFont="1" applyFill="1" applyBorder="1" applyAlignment="1" applyProtection="1">
      <alignment horizontal="center" vertical="center"/>
      <protection locked="0"/>
    </xf>
    <xf numFmtId="49" fontId="69" fillId="2" borderId="26" xfId="0" applyNumberFormat="1" applyFont="1" applyFill="1" applyBorder="1" applyAlignment="1">
      <alignment horizontal="center"/>
    </xf>
    <xf numFmtId="49" fontId="60" fillId="2" borderId="26" xfId="0" applyNumberFormat="1" applyFont="1" applyFill="1" applyBorder="1" applyAlignment="1" applyProtection="1">
      <alignment horizontal="center"/>
      <protection locked="0"/>
    </xf>
    <xf numFmtId="49" fontId="66" fillId="2" borderId="30" xfId="0" applyNumberFormat="1" applyFont="1" applyFill="1" applyBorder="1" applyAlignment="1" applyProtection="1">
      <alignment horizontal="center"/>
      <protection locked="0"/>
    </xf>
    <xf numFmtId="49" fontId="60" fillId="20" borderId="30" xfId="0" applyNumberFormat="1" applyFont="1" applyFill="1" applyBorder="1" applyAlignment="1">
      <alignment horizontal="center"/>
    </xf>
    <xf numFmtId="49" fontId="66" fillId="2" borderId="26" xfId="0" applyNumberFormat="1" applyFont="1" applyFill="1" applyBorder="1" applyAlignment="1" applyProtection="1">
      <alignment horizontal="center"/>
      <protection locked="0"/>
    </xf>
    <xf numFmtId="49" fontId="69" fillId="6" borderId="27" xfId="0" applyNumberFormat="1" applyFont="1" applyFill="1" applyBorder="1" applyAlignment="1">
      <alignment horizontal="center"/>
    </xf>
    <xf numFmtId="49" fontId="67" fillId="6" borderId="31" xfId="0" applyNumberFormat="1" applyFont="1" applyFill="1" applyBorder="1" applyAlignment="1">
      <alignment horizontal="center"/>
    </xf>
    <xf numFmtId="49" fontId="67" fillId="6" borderId="31" xfId="0" applyNumberFormat="1" applyFont="1" applyFill="1" applyBorder="1" applyAlignment="1" applyProtection="1">
      <alignment horizontal="center"/>
      <protection locked="0"/>
    </xf>
    <xf numFmtId="169" fontId="67" fillId="22" borderId="98" xfId="0" applyNumberFormat="1" applyFont="1" applyFill="1" applyBorder="1" applyAlignment="1" applyProtection="1">
      <protection locked="0"/>
    </xf>
    <xf numFmtId="49" fontId="59" fillId="26" borderId="137" xfId="0" applyNumberFormat="1" applyFont="1" applyFill="1" applyBorder="1" applyAlignment="1" applyProtection="1">
      <alignment horizontal="left" wrapText="1"/>
      <protection hidden="1"/>
    </xf>
    <xf numFmtId="49" fontId="44" fillId="0" borderId="92" xfId="12" applyNumberFormat="1" applyFont="1" applyBorder="1" applyAlignment="1">
      <alignment horizontal="center" vertical="center" wrapText="1"/>
    </xf>
    <xf numFmtId="3" fontId="67" fillId="22" borderId="98" xfId="0" applyNumberFormat="1" applyFont="1" applyFill="1" applyBorder="1" applyAlignment="1" applyProtection="1">
      <protection locked="0"/>
    </xf>
    <xf numFmtId="3" fontId="67" fillId="26" borderId="110" xfId="8" applyNumberFormat="1" applyFont="1" applyFill="1" applyBorder="1" applyAlignment="1" applyProtection="1">
      <alignment horizontal="right" vertical="center"/>
      <protection locked="0"/>
    </xf>
    <xf numFmtId="49" fontId="67" fillId="2" borderId="18" xfId="0" applyNumberFormat="1" applyFont="1" applyFill="1" applyBorder="1" applyAlignment="1">
      <alignment horizontal="left"/>
    </xf>
    <xf numFmtId="4" fontId="79" fillId="23" borderId="90" xfId="0" applyNumberFormat="1" applyFont="1" applyFill="1" applyBorder="1" applyAlignment="1" applyProtection="1">
      <alignment horizontal="center"/>
      <protection hidden="1"/>
    </xf>
    <xf numFmtId="49" fontId="67" fillId="2" borderId="162" xfId="0" applyNumberFormat="1" applyFont="1" applyFill="1" applyBorder="1" applyAlignment="1">
      <alignment wrapText="1"/>
    </xf>
    <xf numFmtId="49" fontId="67" fillId="2" borderId="0" xfId="0" applyNumberFormat="1" applyFont="1" applyFill="1" applyBorder="1" applyAlignment="1">
      <alignment horizontal="left" wrapText="1" indent="1"/>
    </xf>
    <xf numFmtId="49" fontId="67" fillId="2" borderId="18" xfId="0" applyNumberFormat="1" applyFont="1" applyFill="1" applyBorder="1" applyAlignment="1">
      <alignment horizontal="center"/>
    </xf>
    <xf numFmtId="169" fontId="67" fillId="22" borderId="98" xfId="0" applyNumberFormat="1" applyFont="1" applyFill="1" applyBorder="1" applyAlignment="1" applyProtection="1">
      <alignment horizontal="right"/>
      <protection locked="0"/>
    </xf>
    <xf numFmtId="3" fontId="67" fillId="22" borderId="18" xfId="0" applyNumberFormat="1" applyFont="1" applyFill="1" applyBorder="1" applyAlignment="1" applyProtection="1">
      <alignment horizontal="right"/>
      <protection locked="0"/>
    </xf>
    <xf numFmtId="1" fontId="74" fillId="0" borderId="0" xfId="0" applyNumberFormat="1" applyFont="1" applyFill="1" applyAlignment="1" applyProtection="1">
      <alignment horizontal="left"/>
      <protection hidden="1"/>
    </xf>
    <xf numFmtId="3" fontId="67" fillId="30" borderId="18" xfId="0" applyNumberFormat="1" applyFont="1" applyFill="1" applyBorder="1" applyAlignment="1">
      <alignment horizontal="right"/>
    </xf>
    <xf numFmtId="49" fontId="67" fillId="39" borderId="26" xfId="0" applyNumberFormat="1" applyFont="1" applyFill="1" applyBorder="1" applyAlignment="1">
      <alignment horizontal="center"/>
    </xf>
    <xf numFmtId="49" fontId="67" fillId="2" borderId="18" xfId="0" applyNumberFormat="1" applyFont="1" applyFill="1" applyBorder="1" applyAlignment="1" applyProtection="1">
      <alignment horizontal="left"/>
      <protection locked="0"/>
    </xf>
    <xf numFmtId="169" fontId="67" fillId="0" borderId="98" xfId="8" applyNumberFormat="1" applyFont="1" applyFill="1" applyBorder="1" applyAlignment="1" applyProtection="1">
      <alignment horizontal="right" vertical="center"/>
      <protection locked="0"/>
    </xf>
    <xf numFmtId="169" fontId="67" fillId="0" borderId="0" xfId="8" applyNumberFormat="1" applyFont="1" applyFill="1" applyBorder="1" applyAlignment="1" applyProtection="1">
      <alignment horizontal="right" vertical="center"/>
      <protection locked="0"/>
    </xf>
    <xf numFmtId="0" fontId="68" fillId="2" borderId="26" xfId="0" applyFont="1" applyFill="1" applyBorder="1" applyAlignment="1">
      <alignment horizontal="left" indent="1"/>
    </xf>
    <xf numFmtId="169" fontId="67" fillId="0" borderId="158" xfId="8" applyNumberFormat="1" applyFont="1" applyFill="1" applyBorder="1" applyAlignment="1" applyProtection="1">
      <alignment horizontal="right" vertical="center"/>
      <protection locked="0"/>
    </xf>
    <xf numFmtId="3" fontId="67" fillId="26" borderId="143" xfId="8" applyNumberFormat="1" applyFont="1" applyFill="1" applyBorder="1" applyAlignment="1" applyProtection="1">
      <alignment horizontal="right" vertical="center"/>
      <protection locked="0"/>
    </xf>
    <xf numFmtId="3" fontId="67" fillId="2" borderId="90" xfId="0" applyNumberFormat="1" applyFont="1" applyFill="1" applyBorder="1" applyAlignment="1" applyProtection="1"/>
    <xf numFmtId="169" fontId="67" fillId="2" borderId="98" xfId="0" applyNumberFormat="1" applyFont="1" applyFill="1" applyBorder="1" applyAlignment="1" applyProtection="1"/>
    <xf numFmtId="3" fontId="59" fillId="0" borderId="144" xfId="0" applyNumberFormat="1" applyFont="1" applyBorder="1" applyProtection="1">
      <protection hidden="1"/>
    </xf>
    <xf numFmtId="49" fontId="67" fillId="6" borderId="18" xfId="0" applyNumberFormat="1" applyFont="1" applyFill="1" applyBorder="1" applyAlignment="1">
      <alignment horizontal="left"/>
    </xf>
    <xf numFmtId="0" fontId="67" fillId="6" borderId="26" xfId="0" applyFont="1" applyFill="1" applyBorder="1" applyAlignment="1">
      <alignment horizontal="left" indent="1"/>
    </xf>
    <xf numFmtId="49" fontId="67" fillId="6" borderId="0" xfId="0" applyNumberFormat="1" applyFont="1" applyFill="1" applyBorder="1" applyAlignment="1">
      <alignment horizontal="center"/>
    </xf>
    <xf numFmtId="3" fontId="67" fillId="6" borderId="90" xfId="0" applyNumberFormat="1" applyFont="1" applyFill="1" applyBorder="1" applyAlignment="1" applyProtection="1"/>
    <xf numFmtId="169" fontId="67" fillId="6" borderId="98" xfId="0" applyNumberFormat="1" applyFont="1" applyFill="1" applyBorder="1" applyAlignment="1" applyProtection="1"/>
    <xf numFmtId="169" fontId="67" fillId="6" borderId="0" xfId="0" applyNumberFormat="1" applyFont="1" applyFill="1" applyBorder="1" applyAlignment="1" applyProtection="1"/>
    <xf numFmtId="3" fontId="67" fillId="6" borderId="0" xfId="0" applyNumberFormat="1" applyFont="1" applyFill="1" applyBorder="1" applyAlignment="1" applyProtection="1"/>
    <xf numFmtId="0" fontId="69" fillId="6" borderId="0" xfId="0" applyFont="1" applyFill="1" applyBorder="1" applyProtection="1">
      <protection locked="0"/>
    </xf>
    <xf numFmtId="0" fontId="69" fillId="6" borderId="0" xfId="0" applyFont="1" applyFill="1" applyBorder="1"/>
    <xf numFmtId="49" fontId="67" fillId="6" borderId="18" xfId="0" applyNumberFormat="1" applyFont="1" applyFill="1" applyBorder="1" applyAlignment="1" applyProtection="1">
      <alignment horizontal="left"/>
      <protection locked="0"/>
    </xf>
    <xf numFmtId="169" fontId="67" fillId="6" borderId="26" xfId="0" applyNumberFormat="1" applyFont="1" applyFill="1" applyBorder="1" applyAlignment="1" applyProtection="1"/>
    <xf numFmtId="3" fontId="67" fillId="6" borderId="18" xfId="0" applyNumberFormat="1" applyFont="1" applyFill="1" applyBorder="1" applyAlignment="1" applyProtection="1"/>
    <xf numFmtId="49" fontId="59" fillId="2" borderId="22" xfId="0" applyNumberFormat="1" applyFont="1" applyFill="1" applyBorder="1" applyAlignment="1">
      <alignment horizontal="center"/>
    </xf>
    <xf numFmtId="49" fontId="63" fillId="19" borderId="18" xfId="0" applyNumberFormat="1" applyFont="1" applyFill="1" applyBorder="1" applyAlignment="1" applyProtection="1">
      <alignment horizontal="left"/>
      <protection locked="0"/>
    </xf>
    <xf numFmtId="49" fontId="63" fillId="19" borderId="26" xfId="0" applyNumberFormat="1" applyFont="1" applyFill="1" applyBorder="1" applyAlignment="1">
      <alignment horizontal="center"/>
    </xf>
    <xf numFmtId="3" fontId="63" fillId="19" borderId="0" xfId="0" applyNumberFormat="1" applyFont="1" applyFill="1" applyBorder="1" applyAlignment="1" applyProtection="1"/>
    <xf numFmtId="169" fontId="63" fillId="19" borderId="98" xfId="0" applyNumberFormat="1" applyFont="1" applyFill="1" applyBorder="1" applyAlignment="1" applyProtection="1"/>
    <xf numFmtId="169" fontId="63" fillId="19" borderId="0" xfId="0" applyNumberFormat="1" applyFont="1" applyFill="1" applyBorder="1" applyAlignment="1" applyProtection="1"/>
    <xf numFmtId="49" fontId="63" fillId="19" borderId="0" xfId="0" applyNumberFormat="1" applyFont="1" applyFill="1" applyBorder="1" applyAlignment="1" applyProtection="1">
      <alignment horizontal="left"/>
      <protection locked="0"/>
    </xf>
    <xf numFmtId="0" fontId="63" fillId="19" borderId="0" xfId="0" applyFont="1" applyFill="1" applyBorder="1" applyAlignment="1">
      <alignment horizontal="left"/>
    </xf>
    <xf numFmtId="49" fontId="63" fillId="19" borderId="0" xfId="0" applyNumberFormat="1" applyFont="1" applyFill="1" applyBorder="1" applyAlignment="1">
      <alignment horizontal="center"/>
    </xf>
    <xf numFmtId="3" fontId="63" fillId="19" borderId="35" xfId="0" applyNumberFormat="1" applyFont="1" applyFill="1" applyBorder="1" applyAlignment="1" applyProtection="1"/>
    <xf numFmtId="3" fontId="63" fillId="19" borderId="163" xfId="0" applyNumberFormat="1" applyFont="1" applyFill="1" applyBorder="1" applyAlignment="1" applyProtection="1"/>
    <xf numFmtId="3" fontId="63" fillId="19" borderId="164" xfId="0" applyNumberFormat="1" applyFont="1" applyFill="1" applyBorder="1" applyAlignment="1" applyProtection="1"/>
    <xf numFmtId="3" fontId="63" fillId="19" borderId="110" xfId="0" applyNumberFormat="1" applyFont="1" applyFill="1" applyBorder="1" applyAlignment="1" applyProtection="1"/>
    <xf numFmtId="49" fontId="59" fillId="49" borderId="18" xfId="0" applyNumberFormat="1" applyFont="1" applyFill="1" applyBorder="1" applyAlignment="1">
      <alignment horizontal="left"/>
    </xf>
    <xf numFmtId="0" fontId="67" fillId="49" borderId="31" xfId="0" applyFont="1" applyFill="1" applyBorder="1" applyAlignment="1">
      <alignment horizontal="left"/>
    </xf>
    <xf numFmtId="49" fontId="67" fillId="49" borderId="31" xfId="0" applyNumberFormat="1" applyFont="1" applyFill="1" applyBorder="1" applyAlignment="1">
      <alignment horizontal="center"/>
    </xf>
    <xf numFmtId="3" fontId="67" fillId="49" borderId="0" xfId="0" applyNumberFormat="1" applyFont="1" applyFill="1" applyBorder="1" applyAlignment="1" applyProtection="1"/>
    <xf numFmtId="169" fontId="67" fillId="49" borderId="98" xfId="0" applyNumberFormat="1" applyFont="1" applyFill="1" applyBorder="1" applyAlignment="1" applyProtection="1"/>
    <xf numFmtId="169" fontId="67" fillId="49" borderId="26" xfId="0" applyNumberFormat="1" applyFont="1" applyFill="1" applyBorder="1" applyAlignment="1" applyProtection="1"/>
    <xf numFmtId="3" fontId="67" fillId="49" borderId="18" xfId="0" applyNumberFormat="1" applyFont="1" applyFill="1" applyBorder="1" applyAlignment="1" applyProtection="1"/>
    <xf numFmtId="2" fontId="67" fillId="49" borderId="0" xfId="0" applyNumberFormat="1" applyFont="1" applyFill="1" applyProtection="1">
      <protection locked="0"/>
    </xf>
    <xf numFmtId="0" fontId="59" fillId="49" borderId="32" xfId="0" applyFont="1" applyFill="1" applyBorder="1" applyProtection="1">
      <protection locked="0"/>
    </xf>
    <xf numFmtId="0" fontId="59" fillId="49" borderId="0" xfId="0" applyFont="1" applyFill="1" applyBorder="1" applyProtection="1">
      <protection locked="0"/>
    </xf>
    <xf numFmtId="0" fontId="59" fillId="49" borderId="0" xfId="0" applyFont="1" applyFill="1" applyBorder="1"/>
    <xf numFmtId="3" fontId="12" fillId="50" borderId="18" xfId="0" applyNumberFormat="1" applyFont="1" applyFill="1" applyBorder="1" applyAlignment="1" applyProtection="1">
      <alignment horizontal="right"/>
      <protection hidden="1"/>
    </xf>
    <xf numFmtId="168" fontId="12" fillId="50" borderId="18" xfId="0" applyNumberFormat="1" applyFont="1" applyFill="1" applyBorder="1" applyAlignment="1" applyProtection="1">
      <alignment horizontal="right"/>
      <protection hidden="1"/>
    </xf>
    <xf numFmtId="0" fontId="73" fillId="0" borderId="0" xfId="0" applyFont="1" applyAlignment="1" applyProtection="1">
      <alignment horizontal="center"/>
      <protection locked="0"/>
    </xf>
    <xf numFmtId="3" fontId="10" fillId="22" borderId="18" xfId="0" applyNumberFormat="1" applyFont="1" applyFill="1" applyBorder="1" applyAlignment="1" applyProtection="1">
      <alignment horizontal="center" vertical="center"/>
      <protection hidden="1"/>
    </xf>
    <xf numFmtId="168" fontId="8" fillId="26" borderId="18" xfId="0" applyNumberFormat="1" applyFont="1" applyFill="1" applyBorder="1" applyAlignment="1" applyProtection="1">
      <alignment horizontal="right" vertical="center"/>
      <protection hidden="1"/>
    </xf>
    <xf numFmtId="168" fontId="8" fillId="0" borderId="18" xfId="0" applyNumberFormat="1" applyFont="1" applyFill="1" applyBorder="1" applyAlignment="1" applyProtection="1">
      <alignment horizontal="right" vertical="center"/>
      <protection hidden="1"/>
    </xf>
    <xf numFmtId="168" fontId="8" fillId="26" borderId="18" xfId="0" applyNumberFormat="1" applyFont="1" applyFill="1" applyBorder="1" applyAlignment="1" applyProtection="1">
      <alignment horizontal="right"/>
      <protection hidden="1"/>
    </xf>
    <xf numFmtId="168" fontId="8" fillId="0" borderId="18" xfId="0" applyNumberFormat="1" applyFont="1" applyFill="1" applyBorder="1" applyAlignment="1" applyProtection="1">
      <alignment horizontal="right"/>
      <protection hidden="1"/>
    </xf>
    <xf numFmtId="168" fontId="72" fillId="26" borderId="18" xfId="0" applyNumberFormat="1" applyFont="1" applyFill="1" applyBorder="1" applyAlignment="1" applyProtection="1">
      <alignment horizontal="right"/>
      <protection hidden="1"/>
    </xf>
    <xf numFmtId="168" fontId="72" fillId="0" borderId="18" xfId="0" applyNumberFormat="1" applyFont="1" applyFill="1" applyBorder="1" applyAlignment="1" applyProtection="1">
      <alignment horizontal="right" vertical="center"/>
      <protection hidden="1"/>
    </xf>
    <xf numFmtId="168" fontId="72" fillId="0" borderId="18" xfId="0" applyNumberFormat="1" applyFont="1" applyFill="1" applyBorder="1" applyAlignment="1" applyProtection="1">
      <alignment horizontal="right"/>
      <protection hidden="1"/>
    </xf>
    <xf numFmtId="168" fontId="8" fillId="51" borderId="24" xfId="0" applyNumberFormat="1" applyFont="1" applyFill="1" applyBorder="1" applyAlignment="1" applyProtection="1">
      <protection hidden="1"/>
    </xf>
    <xf numFmtId="168" fontId="8" fillId="31" borderId="24" xfId="0" applyNumberFormat="1" applyFont="1" applyFill="1" applyBorder="1" applyAlignment="1" applyProtection="1">
      <protection hidden="1"/>
    </xf>
    <xf numFmtId="168" fontId="54" fillId="51" borderId="24" xfId="0" applyNumberFormat="1" applyFont="1" applyFill="1" applyBorder="1" applyAlignment="1" applyProtection="1">
      <protection hidden="1"/>
    </xf>
    <xf numFmtId="168" fontId="54" fillId="31" borderId="24" xfId="0" applyNumberFormat="1" applyFont="1" applyFill="1" applyBorder="1" applyAlignment="1" applyProtection="1">
      <protection hidden="1"/>
    </xf>
    <xf numFmtId="168" fontId="8" fillId="22" borderId="18" xfId="0" applyNumberFormat="1" applyFont="1" applyFill="1" applyBorder="1" applyAlignment="1" applyProtection="1">
      <alignment horizontal="right"/>
      <protection hidden="1"/>
    </xf>
    <xf numFmtId="168" fontId="72" fillId="22" borderId="18" xfId="0" applyNumberFormat="1" applyFont="1" applyFill="1" applyBorder="1" applyAlignment="1" applyProtection="1">
      <alignment horizontal="right"/>
      <protection hidden="1"/>
    </xf>
    <xf numFmtId="168" fontId="8" fillId="26" borderId="29" xfId="0" applyNumberFormat="1" applyFont="1" applyFill="1" applyBorder="1" applyAlignment="1" applyProtection="1">
      <alignment horizontal="right"/>
      <protection hidden="1"/>
    </xf>
    <xf numFmtId="168" fontId="8" fillId="51" borderId="29" xfId="0" applyNumberFormat="1" applyFont="1" applyFill="1" applyBorder="1" applyAlignment="1" applyProtection="1">
      <alignment horizontal="right"/>
      <protection hidden="1"/>
    </xf>
    <xf numFmtId="168" fontId="8" fillId="31" borderId="29" xfId="0" applyNumberFormat="1" applyFont="1" applyFill="1" applyBorder="1" applyAlignment="1" applyProtection="1">
      <alignment horizontal="right"/>
      <protection hidden="1"/>
    </xf>
    <xf numFmtId="168" fontId="8" fillId="26" borderId="86" xfId="0" applyNumberFormat="1" applyFont="1" applyFill="1" applyBorder="1" applyAlignment="1" applyProtection="1">
      <alignment horizontal="center"/>
      <protection hidden="1"/>
    </xf>
    <xf numFmtId="168" fontId="8" fillId="0" borderId="26" xfId="0" applyNumberFormat="1" applyFont="1" applyFill="1" applyBorder="1" applyAlignment="1" applyProtection="1">
      <alignment horizontal="center"/>
      <protection hidden="1"/>
    </xf>
    <xf numFmtId="168" fontId="8" fillId="22" borderId="18" xfId="0" applyNumberFormat="1" applyFont="1" applyFill="1" applyBorder="1" applyAlignment="1" applyProtection="1">
      <alignment horizontal="right" vertical="center"/>
      <protection hidden="1"/>
    </xf>
    <xf numFmtId="168" fontId="72" fillId="2" borderId="18" xfId="0" applyNumberFormat="1" applyFont="1" applyFill="1" applyBorder="1" applyAlignment="1" applyProtection="1">
      <alignment horizontal="right"/>
      <protection hidden="1"/>
    </xf>
    <xf numFmtId="168" fontId="8" fillId="0" borderId="29" xfId="0" applyNumberFormat="1" applyFont="1" applyBorder="1" applyAlignment="1" applyProtection="1">
      <alignment horizontal="right"/>
      <protection hidden="1"/>
    </xf>
    <xf numFmtId="168" fontId="8" fillId="51" borderId="30" xfId="0" applyNumberFormat="1" applyFont="1" applyFill="1" applyBorder="1" applyAlignment="1" applyProtection="1">
      <protection hidden="1"/>
    </xf>
    <xf numFmtId="168" fontId="8" fillId="31" borderId="30" xfId="0" applyNumberFormat="1" applyFont="1" applyFill="1" applyBorder="1" applyAlignment="1" applyProtection="1">
      <protection hidden="1"/>
    </xf>
    <xf numFmtId="168" fontId="8" fillId="0" borderId="18" xfId="0" applyNumberFormat="1" applyFont="1" applyBorder="1" applyAlignment="1" applyProtection="1">
      <alignment horizontal="right"/>
      <protection hidden="1"/>
    </xf>
    <xf numFmtId="168" fontId="8" fillId="50" borderId="18" xfId="0" applyNumberFormat="1" applyFont="1" applyFill="1" applyBorder="1" applyAlignment="1" applyProtection="1">
      <alignment horizontal="right"/>
      <protection hidden="1"/>
    </xf>
    <xf numFmtId="168" fontId="8" fillId="26" borderId="26" xfId="0" applyNumberFormat="1" applyFont="1" applyFill="1" applyBorder="1" applyAlignment="1" applyProtection="1">
      <protection hidden="1"/>
    </xf>
    <xf numFmtId="168" fontId="8" fillId="0" borderId="26" xfId="0" applyNumberFormat="1" applyFont="1" applyBorder="1" applyAlignment="1" applyProtection="1">
      <protection hidden="1"/>
    </xf>
    <xf numFmtId="168" fontId="8" fillId="26" borderId="18" xfId="0" applyNumberFormat="1" applyFont="1" applyFill="1" applyBorder="1" applyAlignment="1" applyProtection="1">
      <alignment horizontal="center"/>
      <protection hidden="1"/>
    </xf>
    <xf numFmtId="168" fontId="8" fillId="0" borderId="18" xfId="0" applyNumberFormat="1" applyFont="1" applyBorder="1" applyAlignment="1" applyProtection="1">
      <alignment horizontal="center"/>
      <protection hidden="1"/>
    </xf>
    <xf numFmtId="168" fontId="72" fillId="26" borderId="86" xfId="0" applyNumberFormat="1" applyFont="1" applyFill="1" applyBorder="1" applyAlignment="1" applyProtection="1">
      <protection hidden="1"/>
    </xf>
    <xf numFmtId="168" fontId="88" fillId="0" borderId="26" xfId="0" applyNumberFormat="1" applyFont="1" applyBorder="1" applyAlignment="1" applyProtection="1">
      <protection hidden="1"/>
    </xf>
    <xf numFmtId="168" fontId="55" fillId="0" borderId="26" xfId="0" applyNumberFormat="1" applyFont="1" applyBorder="1" applyAlignment="1" applyProtection="1">
      <protection hidden="1"/>
    </xf>
    <xf numFmtId="168" fontId="8" fillId="34" borderId="43" xfId="0" applyNumberFormat="1" applyFont="1" applyFill="1" applyBorder="1" applyAlignment="1" applyProtection="1">
      <protection hidden="1"/>
    </xf>
    <xf numFmtId="168" fontId="8" fillId="22" borderId="18" xfId="0" applyNumberFormat="1" applyFont="1" applyFill="1" applyBorder="1" applyAlignment="1" applyProtection="1">
      <alignment vertical="center"/>
      <protection hidden="1"/>
    </xf>
    <xf numFmtId="3" fontId="8" fillId="2" borderId="48" xfId="0" applyNumberFormat="1" applyFont="1" applyFill="1" applyBorder="1" applyAlignment="1" applyProtection="1">
      <alignment vertical="center"/>
      <protection hidden="1"/>
    </xf>
    <xf numFmtId="3" fontId="8" fillId="2" borderId="80" xfId="0" applyNumberFormat="1" applyFont="1" applyFill="1" applyBorder="1" applyAlignment="1" applyProtection="1">
      <alignment vertical="center"/>
      <protection hidden="1"/>
    </xf>
    <xf numFmtId="3" fontId="8" fillId="2" borderId="102" xfId="0" applyNumberFormat="1" applyFont="1" applyFill="1" applyBorder="1" applyAlignment="1" applyProtection="1">
      <alignment vertical="center"/>
      <protection hidden="1"/>
    </xf>
    <xf numFmtId="3" fontId="8" fillId="2" borderId="42" xfId="0" applyNumberFormat="1" applyFont="1" applyFill="1" applyBorder="1" applyProtection="1">
      <protection hidden="1"/>
    </xf>
    <xf numFmtId="49" fontId="8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8" fillId="34" borderId="79" xfId="0" applyNumberFormat="1" applyFont="1" applyFill="1" applyBorder="1" applyAlignment="1" applyProtection="1">
      <protection hidden="1"/>
    </xf>
    <xf numFmtId="3" fontId="8" fillId="34" borderId="102" xfId="0" applyNumberFormat="1" applyFont="1" applyFill="1" applyBorder="1" applyAlignment="1" applyProtection="1">
      <alignment horizontal="center"/>
      <protection hidden="1"/>
    </xf>
    <xf numFmtId="3" fontId="8" fillId="2" borderId="79" xfId="0" applyNumberFormat="1" applyFont="1" applyFill="1" applyBorder="1" applyAlignment="1" applyProtection="1">
      <alignment horizontal="center" vertical="center"/>
      <protection hidden="1"/>
    </xf>
    <xf numFmtId="3" fontId="8" fillId="2" borderId="43" xfId="0" applyNumberFormat="1" applyFont="1" applyFill="1" applyBorder="1" applyAlignment="1" applyProtection="1">
      <alignment horizontal="center" vertical="center"/>
      <protection hidden="1"/>
    </xf>
    <xf numFmtId="0" fontId="8" fillId="0" borderId="79" xfId="0" applyFont="1" applyFill="1" applyBorder="1" applyAlignment="1" applyProtection="1">
      <alignment horizontal="center" vertical="center" wrapText="1"/>
      <protection hidden="1"/>
    </xf>
    <xf numFmtId="1" fontId="8" fillId="0" borderId="79" xfId="0" applyNumberFormat="1" applyFont="1" applyFill="1" applyBorder="1" applyAlignment="1" applyProtection="1">
      <alignment horizontal="center" vertical="center" wrapText="1"/>
      <protection hidden="1"/>
    </xf>
    <xf numFmtId="1" fontId="8" fillId="26" borderId="7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1" fontId="8" fillId="2" borderId="47" xfId="0" applyNumberFormat="1" applyFont="1" applyFill="1" applyBorder="1" applyAlignment="1" applyProtection="1">
      <alignment vertical="center" wrapText="1"/>
      <protection hidden="1"/>
    </xf>
    <xf numFmtId="1" fontId="8" fillId="2" borderId="135" xfId="0" applyNumberFormat="1" applyFont="1" applyFill="1" applyBorder="1" applyAlignment="1" applyProtection="1">
      <alignment vertical="center" wrapText="1"/>
      <protection hidden="1"/>
    </xf>
    <xf numFmtId="49" fontId="8" fillId="31" borderId="23" xfId="0" applyNumberFormat="1" applyFont="1" applyFill="1" applyBorder="1" applyAlignment="1" applyProtection="1">
      <alignment horizontal="center"/>
      <protection hidden="1"/>
    </xf>
    <xf numFmtId="0" fontId="8" fillId="31" borderId="24" xfId="0" applyFont="1" applyFill="1" applyBorder="1" applyAlignment="1" applyProtection="1">
      <alignment horizontal="left"/>
      <protection hidden="1"/>
    </xf>
    <xf numFmtId="49" fontId="8" fillId="31" borderId="24" xfId="0" applyNumberFormat="1" applyFont="1" applyFill="1" applyBorder="1" applyAlignment="1" applyProtection="1">
      <alignment horizontal="center"/>
      <protection hidden="1"/>
    </xf>
    <xf numFmtId="3" fontId="8" fillId="31" borderId="23" xfId="0" applyNumberFormat="1" applyFont="1" applyFill="1" applyBorder="1" applyAlignment="1" applyProtection="1">
      <protection hidden="1"/>
    </xf>
    <xf numFmtId="168" fontId="8" fillId="31" borderId="23" xfId="0" applyNumberFormat="1" applyFont="1" applyFill="1" applyBorder="1" applyAlignment="1" applyProtection="1">
      <protection hidden="1"/>
    </xf>
    <xf numFmtId="49" fontId="8" fillId="0" borderId="18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49" fontId="8" fillId="0" borderId="86" xfId="0" applyNumberFormat="1" applyFont="1" applyBorder="1" applyAlignment="1" applyProtection="1">
      <alignment horizontal="center"/>
      <protection hidden="1"/>
    </xf>
    <xf numFmtId="3" fontId="72" fillId="0" borderId="18" xfId="0" applyNumberFormat="1" applyFont="1" applyBorder="1" applyAlignment="1" applyProtection="1">
      <protection hidden="1"/>
    </xf>
    <xf numFmtId="168" fontId="72" fillId="0" borderId="18" xfId="0" applyNumberFormat="1" applyFont="1" applyBorder="1" applyAlignment="1" applyProtection="1">
      <protection hidden="1"/>
    </xf>
    <xf numFmtId="168" fontId="72" fillId="0" borderId="26" xfId="0" applyNumberFormat="1" applyFont="1" applyBorder="1" applyAlignment="1" applyProtection="1">
      <protection hidden="1"/>
    </xf>
    <xf numFmtId="3" fontId="8" fillId="22" borderId="18" xfId="0" applyNumberFormat="1" applyFont="1" applyFill="1" applyBorder="1" applyAlignment="1" applyProtection="1">
      <alignment horizontal="center" vertical="center"/>
      <protection hidden="1"/>
    </xf>
    <xf numFmtId="0" fontId="8" fillId="22" borderId="0" xfId="0" applyFont="1" applyFill="1" applyBorder="1" applyAlignment="1" applyProtection="1">
      <alignment horizontal="left"/>
      <protection hidden="1"/>
    </xf>
    <xf numFmtId="49" fontId="56" fillId="22" borderId="18" xfId="0" applyNumberFormat="1" applyFont="1" applyFill="1" applyBorder="1" applyAlignment="1" applyProtection="1">
      <alignment horizontal="center"/>
      <protection hidden="1"/>
    </xf>
    <xf numFmtId="3" fontId="8" fillId="22" borderId="18" xfId="0" applyNumberFormat="1" applyFont="1" applyFill="1" applyBorder="1" applyAlignment="1" applyProtection="1">
      <alignment horizontal="right"/>
      <protection hidden="1"/>
    </xf>
    <xf numFmtId="49" fontId="8" fillId="7" borderId="18" xfId="0" applyNumberFormat="1" applyFont="1" applyFill="1" applyBorder="1" applyAlignment="1" applyProtection="1">
      <alignment horizontal="center"/>
      <protection hidden="1"/>
    </xf>
    <xf numFmtId="49" fontId="8" fillId="7" borderId="29" xfId="0" applyNumberFormat="1" applyFont="1" applyFill="1" applyBorder="1" applyAlignment="1" applyProtection="1">
      <alignment horizontal="center"/>
      <protection hidden="1"/>
    </xf>
    <xf numFmtId="49" fontId="8" fillId="0" borderId="18" xfId="0" applyNumberFormat="1" applyFont="1" applyBorder="1" applyAlignment="1" applyProtection="1">
      <alignment horizont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3" fontId="8" fillId="0" borderId="26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26" xfId="0" applyFont="1" applyFill="1" applyBorder="1" applyAlignment="1" applyProtection="1">
      <alignment horizontal="left"/>
      <protection hidden="1"/>
    </xf>
    <xf numFmtId="49" fontId="8" fillId="0" borderId="18" xfId="0" applyNumberFormat="1" applyFont="1" applyFill="1" applyBorder="1" applyAlignment="1" applyProtection="1">
      <alignment horizontal="left" vertical="center"/>
      <protection hidden="1"/>
    </xf>
    <xf numFmtId="49" fontId="8" fillId="0" borderId="43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49" fontId="8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49" fontId="8" fillId="2" borderId="42" xfId="0" applyNumberFormat="1" applyFont="1" applyFill="1" applyBorder="1" applyAlignment="1" applyProtection="1">
      <alignment horizontal="center" vertical="center" wrapText="1"/>
      <protection hidden="1"/>
    </xf>
    <xf numFmtId="49" fontId="8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49" fontId="8" fillId="2" borderId="26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9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49" fontId="8" fillId="31" borderId="29" xfId="0" applyNumberFormat="1" applyFont="1" applyFill="1" applyBorder="1" applyAlignment="1" applyProtection="1">
      <alignment horizontal="center"/>
      <protection hidden="1"/>
    </xf>
    <xf numFmtId="0" fontId="8" fillId="31" borderId="2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wrapText="1"/>
      <protection hidden="1"/>
    </xf>
    <xf numFmtId="49" fontId="8" fillId="0" borderId="0" xfId="0" applyNumberFormat="1" applyFont="1" applyBorder="1" applyAlignment="1" applyProtection="1">
      <alignment horizontal="left" indent="2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8" fillId="31" borderId="30" xfId="0" applyFont="1" applyFill="1" applyBorder="1" applyAlignment="1" applyProtection="1">
      <alignment horizontal="left"/>
      <protection hidden="1"/>
    </xf>
    <xf numFmtId="49" fontId="8" fillId="31" borderId="30" xfId="0" applyNumberFormat="1" applyFont="1" applyFill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left"/>
      <protection hidden="1"/>
    </xf>
    <xf numFmtId="49" fontId="8" fillId="0" borderId="26" xfId="0" applyNumberFormat="1" applyFont="1" applyBorder="1" applyAlignment="1" applyProtection="1">
      <alignment horizontal="center"/>
      <protection hidden="1"/>
    </xf>
    <xf numFmtId="49" fontId="8" fillId="2" borderId="0" xfId="0" applyNumberFormat="1" applyFont="1" applyFill="1" applyBorder="1" applyAlignment="1" applyProtection="1">
      <alignment horizontal="left"/>
      <protection hidden="1"/>
    </xf>
    <xf numFmtId="3" fontId="8" fillId="50" borderId="18" xfId="0" applyNumberFormat="1" applyFont="1" applyFill="1" applyBorder="1" applyAlignment="1" applyProtection="1">
      <alignment horizontal="center" vertical="center"/>
      <protection hidden="1"/>
    </xf>
    <xf numFmtId="0" fontId="8" fillId="50" borderId="0" xfId="0" applyFont="1" applyFill="1" applyBorder="1" applyAlignment="1" applyProtection="1">
      <alignment horizontal="left"/>
      <protection hidden="1"/>
    </xf>
    <xf numFmtId="49" fontId="56" fillId="50" borderId="18" xfId="0" applyNumberFormat="1" applyFont="1" applyFill="1" applyBorder="1" applyAlignment="1" applyProtection="1">
      <alignment horizontal="center"/>
      <protection hidden="1"/>
    </xf>
    <xf numFmtId="3" fontId="8" fillId="22" borderId="18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quotePrefix="1" applyFont="1" applyFill="1" applyBorder="1" applyAlignment="1" applyProtection="1">
      <alignment horizontal="left"/>
      <protection hidden="1"/>
    </xf>
    <xf numFmtId="49" fontId="56" fillId="2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left" wrapText="1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49" fontId="56" fillId="2" borderId="43" xfId="0" applyNumberFormat="1" applyFont="1" applyFill="1" applyBorder="1" applyAlignment="1" applyProtection="1">
      <alignment horizontal="center"/>
      <protection hidden="1"/>
    </xf>
    <xf numFmtId="3" fontId="12" fillId="2" borderId="43" xfId="0" applyNumberFormat="1" applyFont="1" applyFill="1" applyBorder="1" applyAlignment="1" applyProtection="1">
      <alignment horizontal="right"/>
      <protection hidden="1"/>
    </xf>
    <xf numFmtId="168" fontId="12" fillId="2" borderId="43" xfId="0" applyNumberFormat="1" applyFont="1" applyFill="1" applyBorder="1" applyAlignment="1" applyProtection="1">
      <alignment horizontal="right"/>
      <protection hidden="1"/>
    </xf>
    <xf numFmtId="168" fontId="8" fillId="22" borderId="43" xfId="0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8" fillId="22" borderId="0" xfId="0" applyFont="1" applyFill="1" applyBorder="1" applyAlignment="1" applyProtection="1">
      <alignment horizontal="left" vertical="center"/>
      <protection hidden="1"/>
    </xf>
    <xf numFmtId="0" fontId="62" fillId="2" borderId="46" xfId="0" applyFont="1" applyFill="1" applyBorder="1" applyAlignment="1" applyProtection="1">
      <alignment horizontal="center" vertical="center" wrapText="1"/>
      <protection locked="0"/>
    </xf>
    <xf numFmtId="49" fontId="60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60" fillId="4" borderId="46" xfId="0" applyFont="1" applyFill="1" applyBorder="1" applyAlignment="1" applyProtection="1">
      <alignment horizontal="center" vertical="center" wrapText="1"/>
      <protection locked="0"/>
    </xf>
    <xf numFmtId="49" fontId="67" fillId="2" borderId="18" xfId="0" applyNumberFormat="1" applyFont="1" applyFill="1" applyBorder="1" applyAlignment="1" applyProtection="1">
      <alignment horizontal="left"/>
      <protection locked="0"/>
    </xf>
    <xf numFmtId="49" fontId="67" fillId="2" borderId="43" xfId="0" applyNumberFormat="1" applyFont="1" applyFill="1" applyBorder="1" applyAlignment="1" applyProtection="1">
      <alignment horizontal="left"/>
      <protection locked="0"/>
    </xf>
    <xf numFmtId="49" fontId="67" fillId="2" borderId="32" xfId="0" applyNumberFormat="1" applyFont="1" applyFill="1" applyBorder="1" applyAlignment="1" applyProtection="1">
      <alignment horizontal="left" vertical="center" indent="2"/>
      <protection locked="0"/>
    </xf>
    <xf numFmtId="0" fontId="69" fillId="2" borderId="18" xfId="0" applyFont="1" applyFill="1" applyBorder="1" applyAlignment="1" applyProtection="1">
      <alignment horizontal="left" wrapText="1"/>
      <protection locked="0"/>
    </xf>
    <xf numFmtId="169" fontId="60" fillId="29" borderId="71" xfId="0" applyNumberFormat="1" applyFont="1" applyFill="1" applyBorder="1" applyAlignment="1" applyProtection="1">
      <alignment horizontal="center" vertical="center" wrapText="1"/>
      <protection locked="0"/>
    </xf>
    <xf numFmtId="169" fontId="60" fillId="29" borderId="46" xfId="0" applyNumberFormat="1" applyFont="1" applyFill="1" applyBorder="1" applyAlignment="1" applyProtection="1">
      <alignment horizontal="center" vertical="center" wrapText="1"/>
      <protection locked="0"/>
    </xf>
    <xf numFmtId="169" fontId="62" fillId="4" borderId="47" xfId="0" applyNumberFormat="1" applyFont="1" applyFill="1" applyBorder="1" applyAlignment="1" applyProtection="1">
      <alignment horizontal="center" vertical="center" wrapText="1"/>
      <protection locked="0"/>
    </xf>
    <xf numFmtId="169" fontId="62" fillId="4" borderId="135" xfId="0" applyNumberFormat="1" applyFont="1" applyFill="1" applyBorder="1" applyAlignment="1" applyProtection="1">
      <alignment horizontal="center" vertical="center" wrapText="1"/>
      <protection locked="0"/>
    </xf>
    <xf numFmtId="169" fontId="62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66" fillId="2" borderId="165" xfId="0" applyFont="1" applyFill="1" applyBorder="1" applyAlignment="1" applyProtection="1">
      <alignment horizontal="left" wrapText="1"/>
      <protection locked="0"/>
    </xf>
    <xf numFmtId="49" fontId="60" fillId="29" borderId="46" xfId="0" applyNumberFormat="1" applyFont="1" applyFill="1" applyBorder="1" applyAlignment="1" applyProtection="1">
      <alignment horizontal="center" vertical="center" wrapText="1"/>
      <protection locked="0"/>
    </xf>
    <xf numFmtId="0" fontId="60" fillId="29" borderId="46" xfId="0" applyFont="1" applyFill="1" applyBorder="1" applyAlignment="1" applyProtection="1">
      <alignment horizontal="center" vertical="center" wrapText="1"/>
      <protection locked="0"/>
    </xf>
    <xf numFmtId="49" fontId="60" fillId="29" borderId="47" xfId="0" applyNumberFormat="1" applyFont="1" applyFill="1" applyBorder="1" applyAlignment="1" applyProtection="1">
      <alignment horizontal="center" vertical="center" wrapText="1"/>
      <protection locked="0"/>
    </xf>
    <xf numFmtId="49" fontId="67" fillId="2" borderId="32" xfId="0" applyNumberFormat="1" applyFont="1" applyFill="1" applyBorder="1" applyAlignment="1" applyProtection="1">
      <alignment horizontal="left" vertical="center" indent="4"/>
      <protection locked="0"/>
    </xf>
    <xf numFmtId="49" fontId="67" fillId="2" borderId="32" xfId="0" applyNumberFormat="1" applyFont="1" applyFill="1" applyBorder="1" applyAlignment="1" applyProtection="1">
      <alignment horizontal="left" vertical="center" wrapText="1" indent="2"/>
      <protection locked="0"/>
    </xf>
    <xf numFmtId="49" fontId="67" fillId="3" borderId="32" xfId="0" applyNumberFormat="1" applyFont="1" applyFill="1" applyBorder="1" applyAlignment="1" applyProtection="1">
      <alignment horizontal="left" vertical="center" indent="1"/>
      <protection locked="0"/>
    </xf>
    <xf numFmtId="49" fontId="67" fillId="3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60" fillId="18" borderId="86" xfId="0" applyFont="1" applyFill="1" applyBorder="1" applyAlignment="1" applyProtection="1">
      <alignment horizontal="left"/>
      <protection locked="0"/>
    </xf>
    <xf numFmtId="0" fontId="60" fillId="18" borderId="103" xfId="0" applyFont="1" applyFill="1" applyBorder="1" applyAlignment="1" applyProtection="1">
      <alignment horizontal="left"/>
      <protection locked="0"/>
    </xf>
    <xf numFmtId="0" fontId="60" fillId="18" borderId="29" xfId="0" applyFont="1" applyFill="1" applyBorder="1" applyAlignment="1" applyProtection="1">
      <alignment horizontal="left" indent="2"/>
      <protection locked="0"/>
    </xf>
    <xf numFmtId="0" fontId="60" fillId="18" borderId="104" xfId="0" applyFont="1" applyFill="1" applyBorder="1" applyAlignment="1" applyProtection="1">
      <alignment horizontal="left" indent="2"/>
      <protection locked="0"/>
    </xf>
    <xf numFmtId="0" fontId="69" fillId="2" borderId="166" xfId="0" applyFont="1" applyFill="1" applyBorder="1" applyAlignment="1" applyProtection="1">
      <alignment horizontal="left" wrapText="1"/>
      <protection locked="0"/>
    </xf>
    <xf numFmtId="0" fontId="59" fillId="2" borderId="0" xfId="0" applyFont="1" applyFill="1" applyBorder="1" applyAlignment="1" applyProtection="1">
      <alignment horizontal="left" vertical="top" indent="8"/>
      <protection locked="0"/>
    </xf>
    <xf numFmtId="49" fontId="59" fillId="2" borderId="0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Alignment="1" applyProtection="1">
      <alignment horizontal="center"/>
      <protection locked="0"/>
    </xf>
    <xf numFmtId="49" fontId="60" fillId="17" borderId="46" xfId="0" applyNumberFormat="1" applyFont="1" applyFill="1" applyBorder="1" applyAlignment="1" applyProtection="1">
      <alignment horizontal="center" vertical="center" wrapText="1"/>
      <protection locked="0"/>
    </xf>
    <xf numFmtId="0" fontId="60" fillId="17" borderId="46" xfId="0" applyFont="1" applyFill="1" applyBorder="1" applyAlignment="1" applyProtection="1">
      <alignment horizontal="center" vertical="center" wrapText="1"/>
      <protection locked="0"/>
    </xf>
    <xf numFmtId="0" fontId="60" fillId="17" borderId="47" xfId="0" applyFont="1" applyFill="1" applyBorder="1" applyAlignment="1" applyProtection="1">
      <alignment horizontal="center" vertical="center" wrapText="1"/>
      <protection locked="0"/>
    </xf>
    <xf numFmtId="169" fontId="60" fillId="17" borderId="71" xfId="0" applyNumberFormat="1" applyFont="1" applyFill="1" applyBorder="1" applyAlignment="1" applyProtection="1">
      <alignment horizontal="center" vertical="center" wrapText="1"/>
      <protection locked="0"/>
    </xf>
    <xf numFmtId="169" fontId="60" fillId="17" borderId="46" xfId="0" applyNumberFormat="1" applyFont="1" applyFill="1" applyBorder="1" applyAlignment="1" applyProtection="1">
      <alignment horizontal="center" vertical="center" wrapText="1"/>
      <protection locked="0"/>
    </xf>
    <xf numFmtId="0" fontId="60" fillId="18" borderId="18" xfId="0" applyFont="1" applyFill="1" applyBorder="1" applyAlignment="1" applyProtection="1">
      <alignment horizontal="left" indent="2"/>
      <protection locked="0"/>
    </xf>
    <xf numFmtId="0" fontId="60" fillId="18" borderId="90" xfId="0" applyFont="1" applyFill="1" applyBorder="1" applyAlignment="1" applyProtection="1">
      <alignment horizontal="left" indent="2"/>
      <protection locked="0"/>
    </xf>
    <xf numFmtId="0" fontId="67" fillId="2" borderId="95" xfId="0" applyFont="1" applyFill="1" applyBorder="1" applyAlignment="1" applyProtection="1">
      <alignment horizontal="center"/>
      <protection locked="0"/>
    </xf>
    <xf numFmtId="0" fontId="67" fillId="2" borderId="167" xfId="0" applyFont="1" applyFill="1" applyBorder="1" applyAlignment="1" applyProtection="1">
      <alignment horizontal="center"/>
      <protection locked="0"/>
    </xf>
    <xf numFmtId="0" fontId="67" fillId="2" borderId="93" xfId="0" applyFont="1" applyFill="1" applyBorder="1" applyAlignment="1" applyProtection="1">
      <alignment horizontal="center"/>
      <protection locked="0"/>
    </xf>
    <xf numFmtId="0" fontId="58" fillId="2" borderId="0" xfId="0" applyFont="1" applyFill="1" applyBorder="1" applyAlignment="1" applyProtection="1">
      <alignment horizontal="left"/>
      <protection locked="0"/>
    </xf>
    <xf numFmtId="3" fontId="8" fillId="34" borderId="46" xfId="0" applyNumberFormat="1" applyFont="1" applyFill="1" applyBorder="1" applyAlignment="1" applyProtection="1">
      <alignment horizontal="left" wrapText="1"/>
      <protection hidden="1"/>
    </xf>
    <xf numFmtId="1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49" fontId="10" fillId="26" borderId="46" xfId="0" applyNumberFormat="1" applyFont="1" applyFill="1" applyBorder="1" applyAlignment="1" applyProtection="1">
      <alignment horizontal="center" vertical="center" wrapText="1"/>
      <protection hidden="1"/>
    </xf>
    <xf numFmtId="0" fontId="10" fillId="22" borderId="46" xfId="0" applyFont="1" applyFill="1" applyBorder="1" applyAlignment="1" applyProtection="1">
      <alignment horizontal="center" vertical="center" wrapText="1"/>
      <protection hidden="1"/>
    </xf>
    <xf numFmtId="49" fontId="10" fillId="22" borderId="46" xfId="0" applyNumberFormat="1" applyFont="1" applyFill="1" applyBorder="1" applyAlignment="1" applyProtection="1">
      <alignment horizontal="center" vertical="center" wrapText="1"/>
      <protection hidden="1"/>
    </xf>
    <xf numFmtId="1" fontId="8" fillId="26" borderId="47" xfId="0" applyNumberFormat="1" applyFont="1" applyFill="1" applyBorder="1" applyAlignment="1" applyProtection="1">
      <alignment horizontal="center"/>
      <protection hidden="1"/>
    </xf>
    <xf numFmtId="1" fontId="8" fillId="26" borderId="135" xfId="0" applyNumberFormat="1" applyFont="1" applyFill="1" applyBorder="1" applyAlignment="1" applyProtection="1">
      <alignment horizontal="center"/>
      <protection hidden="1"/>
    </xf>
    <xf numFmtId="1" fontId="8" fillId="26" borderId="71" xfId="0" applyNumberFormat="1" applyFont="1" applyFill="1" applyBorder="1" applyAlignment="1" applyProtection="1">
      <alignment horizontal="center"/>
      <protection hidden="1"/>
    </xf>
    <xf numFmtId="1" fontId="8" fillId="2" borderId="47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35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7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22" borderId="0" xfId="0" applyFont="1" applyFill="1" applyBorder="1" applyAlignment="1" applyProtection="1">
      <alignment horizontal="left"/>
      <protection hidden="1"/>
    </xf>
    <xf numFmtId="0" fontId="10" fillId="26" borderId="46" xfId="0" applyFont="1" applyFill="1" applyBorder="1" applyAlignment="1" applyProtection="1">
      <alignment horizontal="center" vertical="center" wrapText="1"/>
      <protection hidden="1"/>
    </xf>
    <xf numFmtId="3" fontId="10" fillId="23" borderId="46" xfId="0" applyNumberFormat="1" applyFont="1" applyFill="1" applyBorder="1" applyAlignment="1" applyProtection="1">
      <alignment horizontal="left" wrapText="1"/>
      <protection hidden="1"/>
    </xf>
    <xf numFmtId="49" fontId="8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49" fontId="8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top" indent="8"/>
      <protection hidden="1"/>
    </xf>
    <xf numFmtId="0" fontId="8" fillId="7" borderId="18" xfId="0" applyFont="1" applyFill="1" applyBorder="1" applyAlignment="1" applyProtection="1">
      <alignment horizontal="left" indent="2"/>
      <protection hidden="1"/>
    </xf>
    <xf numFmtId="0" fontId="8" fillId="7" borderId="29" xfId="0" applyFont="1" applyFill="1" applyBorder="1" applyAlignment="1" applyProtection="1">
      <alignment horizontal="left" indent="2"/>
      <protection hidden="1"/>
    </xf>
    <xf numFmtId="0" fontId="8" fillId="0" borderId="18" xfId="0" applyFont="1" applyBorder="1" applyAlignment="1" applyProtection="1">
      <alignment horizontal="left" wrapText="1"/>
      <protection hidden="1"/>
    </xf>
    <xf numFmtId="49" fontId="8" fillId="0" borderId="18" xfId="0" applyNumberFormat="1" applyFont="1" applyFill="1" applyBorder="1" applyAlignment="1" applyProtection="1">
      <alignment horizontal="left" vertical="center" indent="2"/>
      <protection hidden="1"/>
    </xf>
    <xf numFmtId="0" fontId="8" fillId="0" borderId="43" xfId="0" applyFont="1" applyFill="1" applyBorder="1" applyAlignment="1" applyProtection="1">
      <alignment horizontal="left" wrapText="1"/>
      <protection hidden="1"/>
    </xf>
    <xf numFmtId="0" fontId="73" fillId="26" borderId="0" xfId="0" applyFont="1" applyFill="1" applyBorder="1" applyAlignment="1" applyProtection="1">
      <alignment horizontal="left" vertical="top" wrapText="1"/>
      <protection hidden="1"/>
    </xf>
    <xf numFmtId="0" fontId="8" fillId="31" borderId="23" xfId="0" applyFont="1" applyFill="1" applyBorder="1" applyAlignment="1" applyProtection="1">
      <alignment horizontal="center"/>
      <protection hidden="1"/>
    </xf>
    <xf numFmtId="0" fontId="81" fillId="22" borderId="0" xfId="0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right" vertical="top" wrapText="1"/>
      <protection locked="0"/>
    </xf>
    <xf numFmtId="0" fontId="72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3" fontId="10" fillId="33" borderId="46" xfId="0" applyNumberFormat="1" applyFont="1" applyFill="1" applyBorder="1" applyAlignment="1" applyProtection="1">
      <alignment horizontal="left" wrapText="1"/>
      <protection hidden="1"/>
    </xf>
    <xf numFmtId="0" fontId="10" fillId="26" borderId="18" xfId="0" applyFont="1" applyFill="1" applyBorder="1" applyAlignment="1" applyProtection="1">
      <alignment horizontal="left" wrapText="1"/>
      <protection hidden="1"/>
    </xf>
    <xf numFmtId="0" fontId="11" fillId="26" borderId="43" xfId="0" applyFont="1" applyFill="1" applyBorder="1" applyAlignment="1" applyProtection="1">
      <alignment horizontal="left" wrapText="1"/>
      <protection hidden="1"/>
    </xf>
    <xf numFmtId="1" fontId="10" fillId="26" borderId="46" xfId="0" applyNumberFormat="1" applyFont="1" applyFill="1" applyBorder="1" applyAlignment="1" applyProtection="1">
      <alignment horizontal="center"/>
      <protection hidden="1"/>
    </xf>
    <xf numFmtId="0" fontId="10" fillId="23" borderId="23" xfId="0" applyFont="1" applyFill="1" applyBorder="1" applyAlignment="1" applyProtection="1">
      <alignment horizontal="center"/>
      <protection hidden="1"/>
    </xf>
    <xf numFmtId="0" fontId="10" fillId="26" borderId="0" xfId="0" applyFont="1" applyFill="1" applyBorder="1" applyAlignment="1" applyProtection="1">
      <alignment horizontal="left" vertical="top" indent="8"/>
      <protection hidden="1"/>
    </xf>
    <xf numFmtId="0" fontId="8" fillId="26" borderId="0" xfId="0" applyFont="1" applyFill="1" applyBorder="1" applyAlignment="1" applyProtection="1">
      <alignment horizontal="left"/>
      <protection hidden="1"/>
    </xf>
    <xf numFmtId="0" fontId="73" fillId="26" borderId="0" xfId="0" applyFont="1" applyFill="1" applyBorder="1" applyAlignment="1" applyProtection="1">
      <alignment horizontal="left" vertical="top" wrapText="1"/>
      <protection locked="0"/>
    </xf>
    <xf numFmtId="0" fontId="8" fillId="26" borderId="0" xfId="0" applyFont="1" applyFill="1" applyBorder="1" applyAlignment="1" applyProtection="1">
      <alignment horizontal="center"/>
      <protection locked="0"/>
    </xf>
    <xf numFmtId="0" fontId="43" fillId="26" borderId="0" xfId="0" applyFont="1" applyFill="1" applyBorder="1" applyAlignment="1" applyProtection="1">
      <alignment horizontal="left" vertical="top" wrapText="1"/>
      <protection hidden="1"/>
    </xf>
    <xf numFmtId="0" fontId="60" fillId="0" borderId="168" xfId="0" applyFont="1" applyFill="1" applyBorder="1" applyAlignment="1" applyProtection="1">
      <alignment horizontal="center" vertical="center"/>
      <protection hidden="1"/>
    </xf>
    <xf numFmtId="0" fontId="60" fillId="0" borderId="169" xfId="0" applyFont="1" applyFill="1" applyBorder="1" applyAlignment="1" applyProtection="1">
      <alignment horizontal="center" vertical="center"/>
      <protection hidden="1"/>
    </xf>
    <xf numFmtId="0" fontId="57" fillId="0" borderId="47" xfId="0" applyFont="1" applyFill="1" applyBorder="1" applyAlignment="1" applyProtection="1">
      <alignment horizontal="center" vertical="center" wrapText="1"/>
      <protection hidden="1"/>
    </xf>
    <xf numFmtId="0" fontId="57" fillId="0" borderId="135" xfId="0" applyFont="1" applyFill="1" applyBorder="1" applyAlignment="1" applyProtection="1">
      <alignment horizontal="center" vertical="center" wrapText="1"/>
      <protection hidden="1"/>
    </xf>
    <xf numFmtId="0" fontId="57" fillId="0" borderId="71" xfId="0" applyFont="1" applyFill="1" applyBorder="1" applyAlignment="1" applyProtection="1">
      <alignment horizontal="center" vertical="center" wrapText="1"/>
      <protection hidden="1"/>
    </xf>
    <xf numFmtId="0" fontId="57" fillId="0" borderId="46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left" wrapText="1"/>
      <protection hidden="1"/>
    </xf>
    <xf numFmtId="0" fontId="59" fillId="0" borderId="0" xfId="0" applyFont="1" applyAlignment="1" applyProtection="1">
      <alignment horizontal="left"/>
      <protection hidden="1"/>
    </xf>
    <xf numFmtId="3" fontId="74" fillId="0" borderId="17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71" xfId="6" applyFont="1" applyFill="1" applyBorder="1" applyAlignment="1">
      <alignment horizontal="center" vertical="center" wrapText="1"/>
    </xf>
    <xf numFmtId="0" fontId="44" fillId="0" borderId="149" xfId="6" applyFont="1" applyFill="1" applyBorder="1" applyAlignment="1">
      <alignment horizontal="center" vertical="center" wrapText="1"/>
    </xf>
    <xf numFmtId="0" fontId="31" fillId="0" borderId="0" xfId="6" applyAlignment="1">
      <alignment horizontal="center" vertical="center"/>
    </xf>
    <xf numFmtId="0" fontId="45" fillId="0" borderId="0" xfId="6" applyFont="1" applyAlignment="1">
      <alignment horizontal="center" wrapText="1"/>
    </xf>
    <xf numFmtId="0" fontId="31" fillId="0" borderId="0" xfId="6"/>
    <xf numFmtId="0" fontId="46" fillId="0" borderId="172" xfId="6" applyFont="1" applyFill="1" applyBorder="1" applyAlignment="1">
      <alignment vertical="center"/>
    </xf>
    <xf numFmtId="0" fontId="31" fillId="0" borderId="172" xfId="6" applyBorder="1"/>
    <xf numFmtId="0" fontId="44" fillId="0" borderId="173" xfId="6" applyFont="1" applyFill="1" applyBorder="1" applyAlignment="1">
      <alignment horizontal="center" vertical="center" wrapText="1"/>
    </xf>
    <xf numFmtId="0" fontId="44" fillId="0" borderId="95" xfId="6" applyFont="1" applyBorder="1" applyAlignment="1">
      <alignment horizontal="center" vertical="center" wrapText="1"/>
    </xf>
    <xf numFmtId="0" fontId="31" fillId="0" borderId="167" xfId="6" applyBorder="1"/>
    <xf numFmtId="0" fontId="31" fillId="0" borderId="93" xfId="6" applyBorder="1"/>
    <xf numFmtId="0" fontId="47" fillId="43" borderId="171" xfId="6" applyFont="1" applyFill="1" applyBorder="1" applyAlignment="1">
      <alignment horizontal="center" vertical="center" wrapText="1"/>
    </xf>
    <xf numFmtId="0" fontId="47" fillId="43" borderId="149" xfId="6" applyFont="1" applyFill="1" applyBorder="1" applyAlignment="1">
      <alignment horizontal="center" vertical="center" wrapText="1"/>
    </xf>
    <xf numFmtId="0" fontId="47" fillId="44" borderId="92" xfId="6" applyFont="1" applyFill="1" applyBorder="1" applyAlignment="1">
      <alignment horizontal="center" vertical="center" wrapText="1"/>
    </xf>
    <xf numFmtId="0" fontId="53" fillId="44" borderId="92" xfId="6" applyFont="1" applyFill="1" applyBorder="1" applyAlignment="1">
      <alignment horizontal="center" vertical="center"/>
    </xf>
    <xf numFmtId="0" fontId="44" fillId="0" borderId="92" xfId="6" applyFont="1" applyBorder="1" applyAlignment="1"/>
    <xf numFmtId="0" fontId="31" fillId="0" borderId="92" xfId="6" applyBorder="1" applyAlignment="1"/>
    <xf numFmtId="0" fontId="44" fillId="0" borderId="92" xfId="6" applyNumberFormat="1" applyFont="1" applyBorder="1" applyAlignment="1">
      <alignment horizontal="center" vertical="center"/>
    </xf>
    <xf numFmtId="0" fontId="31" fillId="0" borderId="92" xfId="6" applyNumberFormat="1" applyBorder="1"/>
    <xf numFmtId="0" fontId="44" fillId="0" borderId="92" xfId="6" applyFont="1" applyBorder="1" applyAlignment="1">
      <alignment horizontal="center" vertical="center" wrapText="1"/>
    </xf>
    <xf numFmtId="0" fontId="44" fillId="0" borderId="167" xfId="6" applyFont="1" applyBorder="1" applyAlignment="1">
      <alignment horizontal="center" vertical="center" wrapText="1"/>
    </xf>
    <xf numFmtId="0" fontId="44" fillId="0" borderId="93" xfId="6" applyFont="1" applyBorder="1" applyAlignment="1">
      <alignment horizontal="center" vertical="center" wrapText="1"/>
    </xf>
    <xf numFmtId="0" fontId="44" fillId="0" borderId="174" xfId="6" applyFont="1" applyFill="1" applyBorder="1" applyAlignment="1">
      <alignment horizontal="center" vertical="center" wrapText="1"/>
    </xf>
    <xf numFmtId="0" fontId="31" fillId="0" borderId="172" xfId="6" applyBorder="1" applyAlignment="1"/>
    <xf numFmtId="0" fontId="31" fillId="0" borderId="149" xfId="6" applyBorder="1" applyAlignment="1"/>
    <xf numFmtId="0" fontId="44" fillId="0" borderId="175" xfId="6" applyFont="1" applyFill="1" applyBorder="1" applyAlignment="1">
      <alignment horizontal="center" vertical="center" wrapText="1"/>
    </xf>
    <xf numFmtId="0" fontId="31" fillId="0" borderId="176" xfId="6" applyBorder="1" applyAlignment="1"/>
    <xf numFmtId="0" fontId="70" fillId="41" borderId="93" xfId="2" applyFont="1" applyFill="1" applyBorder="1" applyAlignment="1">
      <alignment horizontal="center" vertical="center" wrapText="1"/>
    </xf>
    <xf numFmtId="0" fontId="70" fillId="41" borderId="93" xfId="2" applyFont="1" applyFill="1" applyBorder="1" applyAlignment="1">
      <alignment horizontal="center" vertical="center"/>
    </xf>
    <xf numFmtId="0" fontId="70" fillId="41" borderId="95" xfId="2" applyFont="1" applyFill="1" applyBorder="1" applyAlignment="1">
      <alignment horizontal="center" vertical="center" wrapText="1"/>
    </xf>
    <xf numFmtId="0" fontId="70" fillId="41" borderId="167" xfId="2" applyFont="1" applyFill="1" applyBorder="1" applyAlignment="1">
      <alignment horizontal="center" vertical="center" wrapText="1"/>
    </xf>
    <xf numFmtId="0" fontId="70" fillId="41" borderId="171" xfId="2" applyFont="1" applyFill="1" applyBorder="1" applyAlignment="1">
      <alignment horizontal="center" vertical="center" wrapText="1"/>
    </xf>
    <xf numFmtId="0" fontId="70" fillId="41" borderId="149" xfId="2" applyFont="1" applyFill="1" applyBorder="1" applyAlignment="1">
      <alignment horizontal="center" vertical="center" wrapText="1"/>
    </xf>
    <xf numFmtId="0" fontId="70" fillId="41" borderId="177" xfId="2" applyFont="1" applyFill="1" applyBorder="1" applyAlignment="1">
      <alignment horizontal="center" vertical="center" wrapText="1"/>
    </xf>
    <xf numFmtId="0" fontId="70" fillId="41" borderId="150" xfId="2" applyFont="1" applyFill="1" applyBorder="1" applyAlignment="1">
      <alignment horizontal="center" vertical="center" wrapText="1"/>
    </xf>
    <xf numFmtId="0" fontId="70" fillId="41" borderId="171" xfId="2" applyFont="1" applyFill="1" applyBorder="1" applyAlignment="1">
      <alignment horizontal="center" vertical="center" textRotation="180" wrapText="1"/>
    </xf>
    <xf numFmtId="0" fontId="70" fillId="41" borderId="173" xfId="2" applyFont="1" applyFill="1" applyBorder="1" applyAlignment="1">
      <alignment horizontal="center" vertical="center" textRotation="180" wrapText="1"/>
    </xf>
    <xf numFmtId="0" fontId="70" fillId="41" borderId="149" xfId="2" applyFont="1" applyFill="1" applyBorder="1" applyAlignment="1">
      <alignment horizontal="center" vertical="center" textRotation="180" wrapText="1"/>
    </xf>
    <xf numFmtId="0" fontId="70" fillId="41" borderId="178" xfId="2" applyFont="1" applyFill="1" applyBorder="1" applyAlignment="1">
      <alignment horizontal="center" vertical="center" wrapText="1"/>
    </xf>
    <xf numFmtId="0" fontId="70" fillId="41" borderId="179" xfId="2" applyFont="1" applyFill="1" applyBorder="1" applyAlignment="1">
      <alignment horizontal="center" vertical="center" wrapText="1"/>
    </xf>
    <xf numFmtId="0" fontId="70" fillId="41" borderId="151" xfId="2" applyFont="1" applyFill="1" applyBorder="1" applyAlignment="1">
      <alignment horizontal="center" vertical="center" wrapText="1"/>
    </xf>
    <xf numFmtId="0" fontId="70" fillId="41" borderId="174" xfId="2" applyFont="1" applyFill="1" applyBorder="1" applyAlignment="1">
      <alignment horizontal="center" vertical="center" wrapText="1"/>
    </xf>
    <xf numFmtId="0" fontId="70" fillId="41" borderId="180" xfId="2" applyFont="1" applyFill="1" applyBorder="1" applyAlignment="1">
      <alignment horizontal="center" vertical="center" wrapText="1"/>
    </xf>
    <xf numFmtId="0" fontId="70" fillId="41" borderId="0" xfId="2" applyFont="1" applyFill="1" applyBorder="1" applyAlignment="1">
      <alignment horizontal="center" vertical="center" wrapText="1"/>
    </xf>
    <xf numFmtId="0" fontId="70" fillId="41" borderId="101" xfId="2" applyFont="1" applyFill="1" applyBorder="1" applyAlignment="1">
      <alignment horizontal="center" vertical="center" wrapText="1"/>
    </xf>
    <xf numFmtId="0" fontId="70" fillId="41" borderId="172" xfId="2" applyFont="1" applyFill="1" applyBorder="1" applyAlignment="1">
      <alignment horizontal="center" vertical="center" wrapText="1"/>
    </xf>
    <xf numFmtId="0" fontId="70" fillId="41" borderId="181" xfId="2" applyFont="1" applyFill="1" applyBorder="1" applyAlignment="1">
      <alignment horizontal="center" vertical="center" wrapText="1"/>
    </xf>
    <xf numFmtId="0" fontId="70" fillId="41" borderId="93" xfId="2" applyFont="1" applyFill="1" applyBorder="1" applyAlignment="1">
      <alignment horizontal="center"/>
    </xf>
    <xf numFmtId="0" fontId="70" fillId="41" borderId="92" xfId="2" applyFont="1" applyFill="1" applyBorder="1" applyAlignment="1">
      <alignment horizontal="center"/>
    </xf>
    <xf numFmtId="0" fontId="70" fillId="41" borderId="92" xfId="2" applyFont="1" applyFill="1" applyBorder="1" applyAlignment="1">
      <alignment horizontal="center" vertical="center"/>
    </xf>
    <xf numFmtId="0" fontId="70" fillId="41" borderId="167" xfId="2" applyFont="1" applyFill="1" applyBorder="1" applyAlignment="1">
      <alignment horizontal="center" vertical="center"/>
    </xf>
    <xf numFmtId="0" fontId="70" fillId="41" borderId="92" xfId="2" applyFont="1" applyFill="1" applyBorder="1" applyAlignment="1">
      <alignment horizontal="center" vertical="center" wrapText="1"/>
    </xf>
    <xf numFmtId="0" fontId="70" fillId="41" borderId="182" xfId="2" applyFont="1" applyFill="1" applyBorder="1" applyAlignment="1">
      <alignment horizontal="center" vertical="center" wrapText="1"/>
    </xf>
    <xf numFmtId="0" fontId="95" fillId="48" borderId="95" xfId="2" applyFont="1" applyFill="1" applyBorder="1" applyAlignment="1">
      <alignment horizontal="center" vertical="center" wrapText="1"/>
    </xf>
    <xf numFmtId="0" fontId="95" fillId="48" borderId="167" xfId="2" applyFont="1" applyFill="1" applyBorder="1" applyAlignment="1">
      <alignment horizontal="center" vertical="center" wrapText="1"/>
    </xf>
    <xf numFmtId="0" fontId="95" fillId="48" borderId="93" xfId="2" applyFont="1" applyFill="1" applyBorder="1" applyAlignment="1">
      <alignment horizontal="center" vertical="center" wrapText="1"/>
    </xf>
    <xf numFmtId="0" fontId="95" fillId="25" borderId="92" xfId="2" applyFont="1" applyFill="1" applyBorder="1" applyAlignment="1">
      <alignment horizontal="center" vertical="center" wrapText="1"/>
    </xf>
    <xf numFmtId="0" fontId="95" fillId="25" borderId="95" xfId="2" applyFont="1" applyFill="1" applyBorder="1" applyAlignment="1">
      <alignment horizontal="center" vertical="center" wrapText="1"/>
    </xf>
    <xf numFmtId="0" fontId="95" fillId="25" borderId="167" xfId="2" applyFont="1" applyFill="1" applyBorder="1" applyAlignment="1">
      <alignment horizontal="center" vertical="center" wrapText="1"/>
    </xf>
    <xf numFmtId="0" fontId="95" fillId="25" borderId="152" xfId="2" applyFont="1" applyFill="1" applyBorder="1" applyAlignment="1">
      <alignment horizontal="center" vertical="center" wrapText="1"/>
    </xf>
    <xf numFmtId="0" fontId="95" fillId="25" borderId="152" xfId="2" applyFont="1" applyFill="1" applyBorder="1" applyAlignment="1">
      <alignment horizontal="center" vertical="center"/>
    </xf>
    <xf numFmtId="0" fontId="95" fillId="25" borderId="93" xfId="2" applyFont="1" applyFill="1" applyBorder="1" applyAlignment="1">
      <alignment horizontal="center" vertical="center" wrapText="1"/>
    </xf>
    <xf numFmtId="0" fontId="95" fillId="25" borderId="171" xfId="2" applyFont="1" applyFill="1" applyBorder="1" applyAlignment="1">
      <alignment horizontal="center" vertical="center" wrapText="1"/>
    </xf>
    <xf numFmtId="0" fontId="95" fillId="25" borderId="149" xfId="2" applyFont="1" applyFill="1" applyBorder="1" applyAlignment="1">
      <alignment horizontal="center" vertical="center" wrapText="1"/>
    </xf>
    <xf numFmtId="0" fontId="95" fillId="25" borderId="178" xfId="2" applyFont="1" applyFill="1" applyBorder="1" applyAlignment="1">
      <alignment horizontal="center" vertical="center" textRotation="180" wrapText="1"/>
    </xf>
    <xf numFmtId="0" fontId="95" fillId="25" borderId="179" xfId="2" applyFont="1" applyFill="1" applyBorder="1" applyAlignment="1">
      <alignment horizontal="center" vertical="center" textRotation="180" wrapText="1"/>
    </xf>
    <xf numFmtId="0" fontId="95" fillId="25" borderId="151" xfId="2" applyFont="1" applyFill="1" applyBorder="1" applyAlignment="1">
      <alignment horizontal="center" vertical="center" textRotation="180" wrapText="1"/>
    </xf>
    <xf numFmtId="0" fontId="95" fillId="25" borderId="183" xfId="2" applyFont="1" applyFill="1" applyBorder="1" applyAlignment="1">
      <alignment horizontal="center" vertical="center" wrapText="1"/>
    </xf>
    <xf numFmtId="0" fontId="95" fillId="25" borderId="184" xfId="2" applyFont="1" applyFill="1" applyBorder="1" applyAlignment="1">
      <alignment horizontal="center" vertical="center" wrapText="1"/>
    </xf>
    <xf numFmtId="0" fontId="95" fillId="25" borderId="185" xfId="2" applyFont="1" applyFill="1" applyBorder="1" applyAlignment="1">
      <alignment horizontal="center" vertical="center" wrapText="1"/>
    </xf>
    <xf numFmtId="0" fontId="95" fillId="25" borderId="186" xfId="2" applyFont="1" applyFill="1" applyBorder="1" applyAlignment="1">
      <alignment horizontal="center" vertical="center" wrapText="1"/>
    </xf>
    <xf numFmtId="0" fontId="95" fillId="25" borderId="187" xfId="2" applyFont="1" applyFill="1" applyBorder="1" applyAlignment="1">
      <alignment horizontal="center" vertical="center" wrapText="1"/>
    </xf>
    <xf numFmtId="0" fontId="95" fillId="25" borderId="188" xfId="2" applyFont="1" applyFill="1" applyBorder="1" applyAlignment="1">
      <alignment horizontal="center" vertical="center" wrapText="1"/>
    </xf>
    <xf numFmtId="0" fontId="95" fillId="25" borderId="179" xfId="2" applyFont="1" applyFill="1" applyBorder="1" applyAlignment="1">
      <alignment horizontal="center" vertical="center" wrapText="1"/>
    </xf>
    <xf numFmtId="0" fontId="95" fillId="25" borderId="0" xfId="2" applyFont="1" applyFill="1" applyBorder="1" applyAlignment="1">
      <alignment horizontal="center" vertical="center" wrapText="1"/>
    </xf>
    <xf numFmtId="0" fontId="95" fillId="25" borderId="189" xfId="2" applyFont="1" applyFill="1" applyBorder="1" applyAlignment="1">
      <alignment horizontal="center" vertical="center" wrapText="1"/>
    </xf>
    <xf numFmtId="0" fontId="95" fillId="25" borderId="151" xfId="2" applyFont="1" applyFill="1" applyBorder="1" applyAlignment="1">
      <alignment horizontal="center" vertical="center" wrapText="1"/>
    </xf>
    <xf numFmtId="0" fontId="95" fillId="25" borderId="172" xfId="2" applyFont="1" applyFill="1" applyBorder="1" applyAlignment="1">
      <alignment horizontal="center" vertical="center" wrapText="1"/>
    </xf>
    <xf numFmtId="0" fontId="95" fillId="25" borderId="176" xfId="2" applyFont="1" applyFill="1" applyBorder="1" applyAlignment="1">
      <alignment horizontal="center" vertical="center" wrapText="1"/>
    </xf>
    <xf numFmtId="0" fontId="95" fillId="48" borderId="190" xfId="2" applyFont="1" applyFill="1" applyBorder="1" applyAlignment="1">
      <alignment horizontal="center"/>
    </xf>
    <xf numFmtId="0" fontId="95" fillId="48" borderId="191" xfId="2" applyFont="1" applyFill="1" applyBorder="1" applyAlignment="1">
      <alignment horizontal="center"/>
    </xf>
    <xf numFmtId="0" fontId="95" fillId="25" borderId="92" xfId="2" applyFont="1" applyFill="1" applyBorder="1" applyAlignment="1">
      <alignment horizontal="center" vertical="center"/>
    </xf>
    <xf numFmtId="0" fontId="95" fillId="48" borderId="92" xfId="2" applyFont="1" applyFill="1" applyBorder="1" applyAlignment="1">
      <alignment horizontal="center" vertical="center"/>
    </xf>
    <xf numFmtId="0" fontId="95" fillId="48" borderId="94" xfId="2" applyFont="1" applyFill="1" applyBorder="1" applyAlignment="1">
      <alignment horizontal="center" vertical="center"/>
    </xf>
    <xf numFmtId="0" fontId="95" fillId="48" borderId="95" xfId="2" applyFont="1" applyFill="1" applyBorder="1" applyAlignment="1">
      <alignment horizontal="center" vertical="center"/>
    </xf>
    <xf numFmtId="0" fontId="95" fillId="48" borderId="167" xfId="2" applyFont="1" applyFill="1" applyBorder="1" applyAlignment="1">
      <alignment horizontal="center" vertical="center"/>
    </xf>
    <xf numFmtId="0" fontId="95" fillId="48" borderId="182" xfId="2" applyFont="1" applyFill="1" applyBorder="1" applyAlignment="1">
      <alignment horizontal="center" vertical="center"/>
    </xf>
    <xf numFmtId="0" fontId="95" fillId="48" borderId="171" xfId="2" applyFont="1" applyFill="1" applyBorder="1" applyAlignment="1">
      <alignment horizontal="center" vertical="center" wrapText="1"/>
    </xf>
    <xf numFmtId="0" fontId="95" fillId="48" borderId="149" xfId="2" applyFont="1" applyFill="1" applyBorder="1" applyAlignment="1">
      <alignment horizontal="center" vertical="center" wrapText="1"/>
    </xf>
    <xf numFmtId="0" fontId="95" fillId="48" borderId="177" xfId="2" applyFont="1" applyFill="1" applyBorder="1" applyAlignment="1">
      <alignment horizontal="center" vertical="center" wrapText="1"/>
    </xf>
    <xf numFmtId="0" fontId="95" fillId="48" borderId="150" xfId="2" applyFont="1" applyFill="1" applyBorder="1" applyAlignment="1">
      <alignment horizontal="center" vertical="center" wrapText="1"/>
    </xf>
    <xf numFmtId="166" fontId="96" fillId="26" borderId="0" xfId="2" applyNumberFormat="1" applyFont="1" applyFill="1" applyBorder="1" applyAlignment="1">
      <alignment horizontal="center" wrapText="1"/>
    </xf>
    <xf numFmtId="166" fontId="96" fillId="26" borderId="192" xfId="2" applyNumberFormat="1" applyFont="1" applyFill="1" applyBorder="1" applyAlignment="1">
      <alignment horizontal="center" wrapText="1"/>
    </xf>
    <xf numFmtId="0" fontId="95" fillId="48" borderId="175" xfId="2" applyFont="1" applyFill="1" applyBorder="1" applyAlignment="1">
      <alignment horizontal="center" vertical="center" wrapText="1"/>
    </xf>
    <xf numFmtId="0" fontId="95" fillId="48" borderId="176" xfId="2" applyFont="1" applyFill="1" applyBorder="1" applyAlignment="1">
      <alignment horizontal="center" vertical="center" wrapText="1"/>
    </xf>
    <xf numFmtId="0" fontId="95" fillId="48" borderId="178" xfId="2" applyFont="1" applyFill="1" applyBorder="1" applyAlignment="1">
      <alignment horizontal="center" vertical="center" wrapText="1"/>
    </xf>
    <xf numFmtId="0" fontId="95" fillId="48" borderId="151" xfId="2" applyFont="1" applyFill="1" applyBorder="1" applyAlignment="1">
      <alignment horizontal="center" vertical="center" wrapText="1"/>
    </xf>
    <xf numFmtId="0" fontId="95" fillId="48" borderId="193" xfId="2" applyFont="1" applyFill="1" applyBorder="1" applyAlignment="1">
      <alignment horizontal="center" vertical="center" wrapText="1"/>
    </xf>
    <xf numFmtId="0" fontId="95" fillId="48" borderId="194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195" xfId="0" applyFont="1" applyFill="1" applyBorder="1" applyAlignment="1">
      <alignment horizontal="center" vertical="center"/>
    </xf>
    <xf numFmtId="3" fontId="2" fillId="2" borderId="195" xfId="0" applyNumberFormat="1" applyFont="1" applyFill="1" applyBorder="1" applyAlignment="1">
      <alignment horizontal="center" vertical="center" wrapText="1"/>
    </xf>
  </cellXfs>
  <cellStyles count="13">
    <cellStyle name="Normalny" xfId="0" builtinId="0"/>
    <cellStyle name="Normalny 2" xfId="1"/>
    <cellStyle name="Normalny 2 2" xfId="2"/>
    <cellStyle name="Normalny 3" xfId="3"/>
    <cellStyle name="Normalny 3 2" xfId="4"/>
    <cellStyle name="Normalny 3_Osoby Prawne - ZBIORCZO (2)" xfId="5"/>
    <cellStyle name="Normalny 4" xfId="6"/>
    <cellStyle name="Normalny 4 2" xfId="7"/>
    <cellStyle name="Normalny 5" xfId="8"/>
    <cellStyle name="Normalny 6" xfId="9"/>
    <cellStyle name="Normalny_Plan Zasobu memoriał_2004" xfId="10"/>
    <cellStyle name="Normalny_Y tabelka budżet zadaniowy_rozpisany_cele_mierniki_2013_06082012_wersja I_memorial_10.08.2012" xfId="11"/>
    <cellStyle name="Normalny_Y tabelka budżet zadaniowy_rozpisany_cele_mierniki_2013_06082012_wersja II_mamorial_10.08.2012" xfId="12"/>
  </cellStyles>
  <dxfs count="2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sz val="12"/>
      </font>
      <fill>
        <patternFill patternType="solid">
          <fgColor indexed="25"/>
          <bgColor indexed="6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sz val="12"/>
      </font>
      <fill>
        <patternFill patternType="solid">
          <fgColor indexed="25"/>
          <bgColor indexed="60"/>
        </patternFill>
      </fill>
    </dxf>
    <dxf>
      <font>
        <b val="0"/>
        <condense val="0"/>
        <extend val="0"/>
        <sz val="12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</font>
      <fill>
        <patternFill patternType="solid">
          <fgColor indexed="25"/>
          <bgColor indexed="60"/>
        </patternFill>
      </fill>
    </dxf>
    <dxf>
      <font>
        <b val="0"/>
        <condense val="0"/>
        <extend val="0"/>
        <sz val="12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2"/>
      </font>
      <fill>
        <patternFill patternType="solid">
          <fgColor indexed="25"/>
          <bgColor indexed="6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7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7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9525</xdr:rowOff>
    </xdr:from>
    <xdr:to>
      <xdr:col>2</xdr:col>
      <xdr:colOff>819150</xdr:colOff>
      <xdr:row>2</xdr:row>
      <xdr:rowOff>257175</xdr:rowOff>
    </xdr:to>
    <xdr:sp macro="" textlink="" fLocksText="0">
      <xdr:nvSpPr>
        <xdr:cNvPr id="1025" name="Text Box 16"/>
        <xdr:cNvSpPr txBox="1">
          <a:spLocks noChangeArrowheads="1"/>
        </xdr:cNvSpPr>
      </xdr:nvSpPr>
      <xdr:spPr bwMode="auto">
        <a:xfrm>
          <a:off x="704850" y="323850"/>
          <a:ext cx="8143875" cy="4476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22680" anchor="ctr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    Pozostałe zadania w zakresie polityki społecznej</a:t>
          </a:r>
        </a:p>
      </xdr:txBody>
    </xdr:sp>
    <xdr:clientData/>
  </xdr:twoCellAnchor>
  <xdr:oneCellAnchor>
    <xdr:from>
      <xdr:col>1</xdr:col>
      <xdr:colOff>474436</xdr:colOff>
      <xdr:row>3</xdr:row>
      <xdr:rowOff>15407</xdr:rowOff>
    </xdr:from>
    <xdr:ext cx="4610202" cy="576718"/>
    <xdr:sp macro="" textlink="" fLocksText="0">
      <xdr:nvSpPr>
        <xdr:cNvPr id="1026" name="Text Box 17"/>
        <xdr:cNvSpPr txBox="1">
          <a:spLocks noChangeArrowheads="1"/>
        </xdr:cNvSpPr>
      </xdr:nvSpPr>
      <xdr:spPr bwMode="auto">
        <a:xfrm>
          <a:off x="1026886" y="844082"/>
          <a:ext cx="4610202" cy="576718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85324    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Osób Niepełnosprawnych</a:t>
          </a:r>
        </a:p>
      </xdr:txBody>
    </xdr:sp>
    <xdr:clientData/>
  </xdr:oneCellAnchor>
  <xdr:oneCellAnchor>
    <xdr:from>
      <xdr:col>1</xdr:col>
      <xdr:colOff>1118507</xdr:colOff>
      <xdr:row>6</xdr:row>
      <xdr:rowOff>16383</xdr:rowOff>
    </xdr:from>
    <xdr:ext cx="3711879" cy="576718"/>
    <xdr:sp macro="" textlink="" fLocksText="0">
      <xdr:nvSpPr>
        <xdr:cNvPr id="1027" name="Text Box 18"/>
        <xdr:cNvSpPr txBox="1">
          <a:spLocks noChangeArrowheads="1"/>
        </xdr:cNvSpPr>
      </xdr:nvSpPr>
      <xdr:spPr bwMode="auto">
        <a:xfrm>
          <a:off x="1670957" y="1559433"/>
          <a:ext cx="3711879" cy="576718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Osób Niepełnosprawnych</a:t>
          </a:r>
        </a:p>
      </xdr:txBody>
    </xdr:sp>
    <xdr:clientData/>
  </xdr:oneCellAnchor>
  <xdr:twoCellAnchor>
    <xdr:from>
      <xdr:col>1</xdr:col>
      <xdr:colOff>7429500</xdr:colOff>
      <xdr:row>0</xdr:row>
      <xdr:rowOff>104775</xdr:rowOff>
    </xdr:from>
    <xdr:to>
      <xdr:col>5</xdr:col>
      <xdr:colOff>19050</xdr:colOff>
      <xdr:row>5</xdr:row>
      <xdr:rowOff>9525</xdr:rowOff>
    </xdr:to>
    <xdr:sp macro="" textlink="" fLocksText="0">
      <xdr:nvSpPr>
        <xdr:cNvPr id="1028" name="Text Box 20"/>
        <xdr:cNvSpPr txBox="1">
          <a:spLocks noChangeArrowheads="1"/>
        </xdr:cNvSpPr>
      </xdr:nvSpPr>
      <xdr:spPr bwMode="auto">
        <a:xfrm>
          <a:off x="7981950" y="104775"/>
          <a:ext cx="2371725" cy="12477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36360" tIns="36360" rIns="0" bIns="0" anchor="t"/>
        <a:lstStyle/>
        <a:p>
          <a:pPr algn="l" rtl="0"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Załącznik</a:t>
          </a:r>
        </a:p>
        <a:p>
          <a:pPr algn="l" rtl="0"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do uchwały nr                   /2009</a:t>
          </a:r>
        </a:p>
        <a:p>
          <a:pPr algn="l" rtl="0"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Zarządu PFRON</a:t>
          </a:r>
        </a:p>
        <a:p>
          <a:pPr algn="l" rtl="0">
            <a:lnSpc>
              <a:spcPts val="1600"/>
            </a:lnSpc>
            <a:defRPr sz="1000"/>
          </a:pPr>
          <a:r>
            <a:rPr lang="pl-PL" sz="1500" b="1" i="1" u="none" strike="noStrike" baseline="0">
              <a:solidFill>
                <a:srgbClr val="FFFFFF"/>
              </a:solidFill>
              <a:latin typeface="Times New Roman CE"/>
              <a:cs typeface="Times New Roman CE"/>
            </a:rPr>
            <a:t>z dnia                      2009 roku.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158221</xdr:colOff>
      <xdr:row>1</xdr:row>
      <xdr:rowOff>191558</xdr:rowOff>
    </xdr:from>
    <xdr:to>
      <xdr:col>2</xdr:col>
      <xdr:colOff>780521</xdr:colOff>
      <xdr:row>3</xdr:row>
      <xdr:rowOff>124883</xdr:rowOff>
    </xdr:to>
    <xdr:sp macro="" textlink="" fLocksText="0">
      <xdr:nvSpPr>
        <xdr:cNvPr id="2049" name="Text Box 9"/>
        <xdr:cNvSpPr txBox="1">
          <a:spLocks noChangeArrowheads="1"/>
        </xdr:cNvSpPr>
      </xdr:nvSpPr>
      <xdr:spPr bwMode="auto">
        <a:xfrm>
          <a:off x="766763" y="509058"/>
          <a:ext cx="8401050" cy="81967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22680" anchor="ctr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    Pozostałe zadania w zakresie polityki społecznej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158221</xdr:colOff>
      <xdr:row>1</xdr:row>
      <xdr:rowOff>191558</xdr:rowOff>
    </xdr:from>
    <xdr:to>
      <xdr:col>2</xdr:col>
      <xdr:colOff>780521</xdr:colOff>
      <xdr:row>3</xdr:row>
      <xdr:rowOff>124883</xdr:rowOff>
    </xdr:to>
    <xdr:sp macro="" textlink="" fLocksText="0">
      <xdr:nvSpPr>
        <xdr:cNvPr id="2" name="Text Box 9"/>
        <xdr:cNvSpPr txBox="1">
          <a:spLocks noChangeArrowheads="1"/>
        </xdr:cNvSpPr>
      </xdr:nvSpPr>
      <xdr:spPr bwMode="auto">
        <a:xfrm>
          <a:off x="767821" y="505883"/>
          <a:ext cx="9756775" cy="10858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22680" anchor="ctr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    Pozostałe zadania w zakresie polityki społecznej</a:t>
          </a:r>
        </a:p>
      </xdr:txBody>
    </xdr:sp>
    <xdr:clientData/>
  </xdr:twoCellAnchor>
  <xdr:oneCellAnchor>
    <xdr:from>
      <xdr:col>1</xdr:col>
      <xdr:colOff>403225</xdr:colOff>
      <xdr:row>3</xdr:row>
      <xdr:rowOff>120415</xdr:rowOff>
    </xdr:from>
    <xdr:ext cx="4610202" cy="576718"/>
    <xdr:sp macro="" textlink="" fLocksText="0">
      <xdr:nvSpPr>
        <xdr:cNvPr id="3" name="Text Box 10"/>
        <xdr:cNvSpPr txBox="1">
          <a:spLocks noChangeArrowheads="1"/>
        </xdr:cNvSpPr>
      </xdr:nvSpPr>
      <xdr:spPr bwMode="auto">
        <a:xfrm>
          <a:off x="1011767" y="1588853"/>
          <a:ext cx="4610202" cy="576718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85324    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Osób Niepełnosprawnych</a:t>
          </a:r>
        </a:p>
      </xdr:txBody>
    </xdr:sp>
    <xdr:clientData/>
  </xdr:oneCellAnchor>
  <xdr:oneCellAnchor>
    <xdr:from>
      <xdr:col>1</xdr:col>
      <xdr:colOff>957792</xdr:colOff>
      <xdr:row>6</xdr:row>
      <xdr:rowOff>157698</xdr:rowOff>
    </xdr:from>
    <xdr:ext cx="3711879" cy="576718"/>
    <xdr:sp macro="" textlink="" fLocksText="0">
      <xdr:nvSpPr>
        <xdr:cNvPr id="4" name="Text Box 11"/>
        <xdr:cNvSpPr txBox="1">
          <a:spLocks noChangeArrowheads="1"/>
        </xdr:cNvSpPr>
      </xdr:nvSpPr>
      <xdr:spPr bwMode="auto">
        <a:xfrm>
          <a:off x="1566334" y="2380198"/>
          <a:ext cx="3711879" cy="576718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18000" tIns="22680" rIns="0" bIns="22680" anchor="ctr">
          <a:spAutoFit/>
        </a:bodyPr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Państwowy Fundusz Rehabilitacji</a:t>
          </a:r>
        </a:p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Osób Niepełnosprawnych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1" name="Line 1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2" name="Line 2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3" name="Line 3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4" name="Line 4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5" name="Line 5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6" name="Line 6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7" name="Line 7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8" name="Line 8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79" name="Line 9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0" name="Line 10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1" name="Line 11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2" name="Line 12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3" name="Line 14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4" name="Line 15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5" name="Line 16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6" name="Line 17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7" name="Line 18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8" name="Line 19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89" name="Line 20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0" name="Line 21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1" name="Line 22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2" name="Line 23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3" name="Line 24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4" name="Line 25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5" name="Line 26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6" name="Line 27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7" name="Line 28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8" name="Line 29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199" name="Line 30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0" name="Line 31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1" name="Line 33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2" name="Line 34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3" name="Line 35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4" name="Line 36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5" name="Line 37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206" name="Line 38"/>
        <xdr:cNvSpPr>
          <a:spLocks noChangeShapeType="1"/>
        </xdr:cNvSpPr>
      </xdr:nvSpPr>
      <xdr:spPr bwMode="auto">
        <a:xfrm>
          <a:off x="8696325" y="3286125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5</xdr:row>
      <xdr:rowOff>152400</xdr:rowOff>
    </xdr:to>
    <xdr:sp macro="" textlink="" fLocksText="0">
      <xdr:nvSpPr>
        <xdr:cNvPr id="3109" name="Text Box 39"/>
        <xdr:cNvSpPr txBox="1">
          <a:spLocks noChangeArrowheads="1"/>
        </xdr:cNvSpPr>
      </xdr:nvSpPr>
      <xdr:spPr bwMode="auto">
        <a:xfrm>
          <a:off x="9324975" y="200025"/>
          <a:ext cx="0" cy="105727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36360" tIns="31680" rIns="0" bIns="0" anchor="t"/>
        <a:lstStyle/>
        <a:p>
          <a:pPr algn="l" rtl="0">
            <a:defRPr sz="1000"/>
          </a:pPr>
          <a:endParaRPr lang="pl-PL" sz="1600" b="1" i="1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l" rtl="0">
            <a:defRPr sz="1000"/>
          </a:pPr>
          <a:endParaRPr lang="pl-PL" sz="1600" b="1" i="1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ak/Documents/PFRON/PFRON/2015/Zmiany%20Planu/12/04%20plan%20pod%20rb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2014-17 PFC"/>
      <sheetName val="Pl 2014-17 PFC MF"/>
      <sheetName val="Plan 2014-17 Wydatki"/>
      <sheetName val="Wieloletni"/>
      <sheetName val="BZ-zmiany"/>
      <sheetName val="PFC D"/>
      <sheetName val="PFC D kasowo"/>
      <sheetName val="Rozl. poż. og.-plan 2008-10"/>
      <sheetName val="Rozl.poż.pr.cel.-plan 2008-10"/>
    </sheetNames>
    <sheetDataSet>
      <sheetData sheetId="0"/>
      <sheetData sheetId="1">
        <row r="54">
          <cell r="J54">
            <v>20990</v>
          </cell>
        </row>
        <row r="56">
          <cell r="J56">
            <v>195000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51"/>
  <sheetViews>
    <sheetView view="pageBreakPreview" topLeftCell="A197" zoomScaleNormal="75" zoomScaleSheetLayoutView="100" workbookViewId="0">
      <selection activeCell="B210" sqref="B210"/>
    </sheetView>
  </sheetViews>
  <sheetFormatPr defaultColWidth="9" defaultRowHeight="15.6"/>
  <cols>
    <col min="1" max="1" width="7.19921875" style="292" customWidth="1"/>
    <col min="2" max="2" width="98.09765625" style="293" customWidth="1"/>
    <col min="3" max="3" width="10.8984375" style="135" bestFit="1" customWidth="1"/>
    <col min="4" max="4" width="17" style="135" hidden="1" customWidth="1"/>
    <col min="5" max="5" width="19.59765625" style="1571" hidden="1" customWidth="1"/>
    <col min="6" max="6" width="19.59765625" style="1572" hidden="1" customWidth="1"/>
    <col min="7" max="9" width="19.59765625" style="1770" bestFit="1" customWidth="1"/>
    <col min="10" max="10" width="22.69921875" style="136" bestFit="1" customWidth="1"/>
    <col min="11" max="11" width="18.09765625" style="136" customWidth="1"/>
    <col min="12" max="12" width="32.09765625" style="136" customWidth="1"/>
    <col min="13" max="13" width="17.09765625" style="136" customWidth="1"/>
    <col min="14" max="14" width="23.69921875" style="136" customWidth="1"/>
    <col min="15" max="15" width="15" style="136" customWidth="1"/>
    <col min="16" max="16" width="16.3984375" style="136" customWidth="1"/>
    <col min="17" max="17" width="13.09765625" style="136" customWidth="1"/>
    <col min="18" max="16384" width="9" style="136"/>
  </cols>
  <sheetData>
    <row r="1" spans="1:23" s="134" customFormat="1" ht="24.9" customHeight="1">
      <c r="A1" s="2234" t="s">
        <v>0</v>
      </c>
      <c r="B1" s="2234"/>
      <c r="C1" s="591"/>
      <c r="D1" s="591"/>
      <c r="E1" s="1358"/>
      <c r="F1" s="1359"/>
      <c r="G1" s="1652"/>
      <c r="H1" s="1652"/>
      <c r="I1" s="1652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</row>
    <row r="2" spans="1:23">
      <c r="A2" s="2221" t="s">
        <v>1</v>
      </c>
      <c r="B2" s="2221"/>
      <c r="C2" s="592"/>
      <c r="D2" s="592"/>
      <c r="E2" s="1360"/>
      <c r="F2" s="1361"/>
      <c r="G2" s="1653"/>
      <c r="H2" s="1653"/>
      <c r="I2" s="1653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</row>
    <row r="3" spans="1:23" s="134" customFormat="1" ht="24.9" customHeight="1">
      <c r="A3" s="2234" t="s">
        <v>2</v>
      </c>
      <c r="B3" s="2234"/>
      <c r="C3" s="591"/>
      <c r="D3" s="591"/>
      <c r="E3" s="1362"/>
      <c r="F3" s="1363"/>
      <c r="G3" s="1654"/>
      <c r="H3" s="1654"/>
      <c r="I3" s="1654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</row>
    <row r="4" spans="1:23">
      <c r="A4" s="2221" t="s">
        <v>1</v>
      </c>
      <c r="B4" s="2221"/>
      <c r="C4" s="592"/>
      <c r="D4" s="592"/>
      <c r="E4" s="1360"/>
      <c r="F4" s="1361"/>
      <c r="G4" s="1653"/>
      <c r="H4" s="1653"/>
      <c r="I4" s="1653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</row>
    <row r="5" spans="1:23" s="134" customFormat="1" ht="24.9" customHeight="1">
      <c r="A5" s="2234" t="s">
        <v>3</v>
      </c>
      <c r="B5" s="2234"/>
      <c r="C5" s="591"/>
      <c r="D5" s="591"/>
      <c r="E5" s="1362"/>
      <c r="F5" s="1363"/>
      <c r="G5" s="1654"/>
      <c r="H5" s="1654"/>
      <c r="I5" s="1654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</row>
    <row r="6" spans="1:23">
      <c r="A6" s="2221" t="s">
        <v>1</v>
      </c>
      <c r="B6" s="2221"/>
      <c r="C6" s="592"/>
      <c r="D6" s="592"/>
      <c r="E6" s="1360"/>
      <c r="F6" s="1361"/>
      <c r="G6" s="1653"/>
      <c r="H6" s="1653"/>
      <c r="I6" s="1653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</row>
    <row r="7" spans="1:23" ht="18">
      <c r="A7" s="593"/>
      <c r="B7" s="593"/>
      <c r="C7" s="592"/>
      <c r="D7" s="592"/>
      <c r="E7" s="1360"/>
      <c r="F7" s="1361"/>
      <c r="G7" s="1653"/>
      <c r="H7" s="1654"/>
      <c r="I7" s="1654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</row>
    <row r="8" spans="1:23" s="134" customFormat="1" ht="24.9" customHeight="1">
      <c r="A8" s="2234" t="s">
        <v>4</v>
      </c>
      <c r="B8" s="2234"/>
      <c r="C8" s="591"/>
      <c r="D8" s="591"/>
      <c r="E8" s="1362"/>
      <c r="F8" s="1363"/>
      <c r="G8" s="1654"/>
      <c r="H8" s="1654"/>
      <c r="I8" s="1654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</row>
    <row r="9" spans="1:23">
      <c r="A9" s="2221"/>
      <c r="B9" s="2221"/>
      <c r="C9" s="592"/>
      <c r="D9" s="592"/>
      <c r="E9" s="1360"/>
      <c r="F9" s="1361"/>
      <c r="G9" s="1653"/>
      <c r="H9" s="1653"/>
      <c r="I9" s="1653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</row>
    <row r="10" spans="1:23" ht="15.75" customHeight="1">
      <c r="A10" s="2222"/>
      <c r="B10" s="2222"/>
      <c r="C10" s="2222"/>
      <c r="D10" s="808"/>
      <c r="E10" s="1360"/>
      <c r="F10" s="1361"/>
      <c r="G10" s="1653"/>
      <c r="H10" s="1653"/>
      <c r="I10" s="1653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</row>
    <row r="11" spans="1:23" s="133" customFormat="1" ht="18">
      <c r="A11" s="2222"/>
      <c r="B11" s="2222"/>
      <c r="C11" s="2222"/>
      <c r="D11" s="808"/>
      <c r="E11" s="1364"/>
      <c r="F11" s="1365"/>
      <c r="G11" s="1655"/>
      <c r="H11" s="1655"/>
      <c r="I11" s="1655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</row>
    <row r="12" spans="1:23" s="133" customFormat="1" ht="18">
      <c r="A12" s="2223" t="s">
        <v>5</v>
      </c>
      <c r="B12" s="2223"/>
      <c r="C12" s="2223"/>
      <c r="D12" s="809"/>
      <c r="E12" s="1364"/>
      <c r="F12" s="1365"/>
      <c r="G12" s="1655"/>
      <c r="H12" s="1655"/>
      <c r="I12" s="1655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</row>
    <row r="13" spans="1:23" s="133" customFormat="1" ht="18.75" customHeight="1" thickBot="1">
      <c r="A13" s="594" t="s">
        <v>6</v>
      </c>
      <c r="B13" s="552"/>
      <c r="C13" s="552"/>
      <c r="D13" s="552"/>
      <c r="E13" s="1366"/>
      <c r="F13" s="1367"/>
      <c r="G13" s="1656"/>
      <c r="H13" s="1656"/>
      <c r="I13" s="1656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</row>
    <row r="14" spans="1:23" s="138" customFormat="1" ht="48.75" customHeight="1" thickBot="1">
      <c r="A14" s="2224" t="s">
        <v>7</v>
      </c>
      <c r="B14" s="2225" t="s">
        <v>8</v>
      </c>
      <c r="C14" s="2226"/>
      <c r="D14" s="863" t="s">
        <v>1014</v>
      </c>
      <c r="E14" s="1368" t="s">
        <v>663</v>
      </c>
      <c r="F14" s="1369" t="s">
        <v>664</v>
      </c>
      <c r="G14" s="1657" t="s">
        <v>1119</v>
      </c>
      <c r="H14" s="1657" t="s">
        <v>1080</v>
      </c>
      <c r="I14" s="1657" t="s">
        <v>1136</v>
      </c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</row>
    <row r="15" spans="1:23" s="138" customFormat="1" ht="16.2" thickBot="1">
      <c r="A15" s="2224"/>
      <c r="B15" s="2225"/>
      <c r="C15" s="2226"/>
      <c r="D15" s="864"/>
      <c r="E15" s="1370">
        <v>2015</v>
      </c>
      <c r="F15" s="1371">
        <f>E15+1</f>
        <v>2016</v>
      </c>
      <c r="G15" s="1651">
        <f>F15</f>
        <v>2016</v>
      </c>
      <c r="H15" s="1651"/>
      <c r="I15" s="1651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</row>
    <row r="16" spans="1:23" s="138" customFormat="1" ht="16.5" customHeight="1" thickBot="1">
      <c r="A16" s="2224"/>
      <c r="B16" s="2225"/>
      <c r="C16" s="2226"/>
      <c r="D16" s="853"/>
      <c r="E16" s="2227" t="s">
        <v>9</v>
      </c>
      <c r="F16" s="2228"/>
      <c r="G16" s="2228"/>
      <c r="H16" s="2228"/>
      <c r="I16" s="2228"/>
      <c r="J16" s="553"/>
      <c r="K16" s="553"/>
      <c r="L16" s="554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</row>
    <row r="17" spans="1:23" s="139" customFormat="1" ht="14.4" thickBot="1">
      <c r="A17" s="595"/>
      <c r="B17" s="596"/>
      <c r="C17" s="597"/>
      <c r="D17" s="865"/>
      <c r="E17" s="1372"/>
      <c r="F17" s="1373"/>
      <c r="G17" s="1658"/>
      <c r="H17" s="1658"/>
      <c r="I17" s="1658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</row>
    <row r="18" spans="1:23" s="139" customFormat="1" ht="9.9" customHeight="1">
      <c r="A18" s="598"/>
      <c r="B18" s="599"/>
      <c r="C18" s="600"/>
      <c r="D18" s="866"/>
      <c r="E18" s="1374"/>
      <c r="F18" s="1375"/>
      <c r="G18" s="1659"/>
      <c r="H18" s="1659"/>
      <c r="I18" s="1659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</row>
    <row r="19" spans="1:23" s="141" customFormat="1">
      <c r="A19" s="601" t="s">
        <v>10</v>
      </c>
      <c r="B19" s="2216" t="s">
        <v>11</v>
      </c>
      <c r="C19" s="2217"/>
      <c r="D19" s="867">
        <f t="shared" ref="D19:I19" si="0">SUM(D20:D21)</f>
        <v>4778362000</v>
      </c>
      <c r="E19" s="1376">
        <f t="shared" si="0"/>
        <v>4723723000</v>
      </c>
      <c r="F19" s="1377">
        <f t="shared" si="0"/>
        <v>5043693226</v>
      </c>
      <c r="G19" s="1660">
        <f t="shared" si="0"/>
        <v>4842786000</v>
      </c>
      <c r="H19" s="1660">
        <f t="shared" si="0"/>
        <v>0</v>
      </c>
      <c r="I19" s="1660">
        <f t="shared" si="0"/>
        <v>4842786000</v>
      </c>
      <c r="J19" s="695"/>
      <c r="K19" s="755">
        <f>E19-E118</f>
        <v>0</v>
      </c>
      <c r="L19" s="755">
        <f>F19-F118</f>
        <v>0</v>
      </c>
      <c r="M19" s="755">
        <f>H19-H118</f>
        <v>0</v>
      </c>
      <c r="N19" s="755">
        <f>I19-I118</f>
        <v>0</v>
      </c>
      <c r="O19" s="755" t="e">
        <f>#REF!-#REF!</f>
        <v>#REF!</v>
      </c>
      <c r="P19" s="556"/>
      <c r="Q19" s="556"/>
      <c r="R19" s="556"/>
      <c r="S19" s="556"/>
      <c r="T19" s="556"/>
      <c r="U19" s="556"/>
      <c r="V19" s="556"/>
      <c r="W19" s="556"/>
    </row>
    <row r="20" spans="1:23" s="141" customFormat="1">
      <c r="A20" s="602"/>
      <c r="B20" s="2229" t="s">
        <v>12</v>
      </c>
      <c r="C20" s="2230"/>
      <c r="D20" s="868">
        <f t="shared" ref="D20:I20" si="1">SUM(D24,D27,D28,D29,D31,D35,D37,D40,D42,D44,D46:D47,D58,D60,D33,D62)</f>
        <v>4687837000</v>
      </c>
      <c r="E20" s="1378">
        <f t="shared" si="1"/>
        <v>4666867000</v>
      </c>
      <c r="F20" s="1379">
        <f t="shared" si="1"/>
        <v>4835693226</v>
      </c>
      <c r="G20" s="1661">
        <f t="shared" si="1"/>
        <v>4692897000</v>
      </c>
      <c r="H20" s="1661">
        <f t="shared" si="1"/>
        <v>0</v>
      </c>
      <c r="I20" s="1661">
        <f t="shared" si="1"/>
        <v>4692897000</v>
      </c>
      <c r="J20" s="695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</row>
    <row r="21" spans="1:23" s="141" customFormat="1">
      <c r="A21" s="603"/>
      <c r="B21" s="2218" t="s">
        <v>13</v>
      </c>
      <c r="C21" s="2219"/>
      <c r="D21" s="869">
        <f t="shared" ref="D21:I21" si="2">SUM(D25,D32,D36,D59,D45,D41)</f>
        <v>90525000</v>
      </c>
      <c r="E21" s="1380">
        <f t="shared" si="2"/>
        <v>56856000</v>
      </c>
      <c r="F21" s="1381">
        <f t="shared" si="2"/>
        <v>208000000</v>
      </c>
      <c r="G21" s="1662">
        <f t="shared" si="2"/>
        <v>149889000</v>
      </c>
      <c r="H21" s="1662">
        <f t="shared" si="2"/>
        <v>0</v>
      </c>
      <c r="I21" s="1662">
        <f t="shared" si="2"/>
        <v>149889000</v>
      </c>
      <c r="J21" s="695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</row>
    <row r="22" spans="1:23" s="142" customFormat="1" ht="12.75" customHeight="1">
      <c r="A22" s="604"/>
      <c r="B22" s="2220"/>
      <c r="C22" s="2220"/>
      <c r="D22" s="870"/>
      <c r="E22" s="1382"/>
      <c r="F22" s="1383"/>
      <c r="G22" s="1663"/>
      <c r="H22" s="1663"/>
      <c r="I22" s="1663"/>
      <c r="J22" s="696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</row>
    <row r="23" spans="1:23" s="143" customFormat="1">
      <c r="A23" s="605" t="s">
        <v>14</v>
      </c>
      <c r="B23" s="2214" t="s">
        <v>15</v>
      </c>
      <c r="C23" s="2214"/>
      <c r="D23" s="871">
        <f t="shared" ref="D23:I23" si="3">SUM(D24:D25)</f>
        <v>3339000</v>
      </c>
      <c r="E23" s="1384">
        <f t="shared" si="3"/>
        <v>3339000</v>
      </c>
      <c r="F23" s="1385">
        <f t="shared" si="3"/>
        <v>78000000</v>
      </c>
      <c r="G23" s="1664">
        <f t="shared" si="3"/>
        <v>49500000</v>
      </c>
      <c r="H23" s="1664">
        <f t="shared" si="3"/>
        <v>0</v>
      </c>
      <c r="I23" s="1664">
        <f t="shared" si="3"/>
        <v>49500000</v>
      </c>
      <c r="J23" s="697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</row>
    <row r="24" spans="1:23" s="144" customFormat="1">
      <c r="A24" s="606" t="s">
        <v>16</v>
      </c>
      <c r="B24" s="2201" t="s">
        <v>12</v>
      </c>
      <c r="C24" s="2201"/>
      <c r="D24" s="872">
        <f t="shared" ref="D24:I24" si="4">D125+D160</f>
        <v>263000</v>
      </c>
      <c r="E24" s="1386">
        <f t="shared" si="4"/>
        <v>263000</v>
      </c>
      <c r="F24" s="1387">
        <f t="shared" si="4"/>
        <v>6900000</v>
      </c>
      <c r="G24" s="1665">
        <f t="shared" si="4"/>
        <v>3900000</v>
      </c>
      <c r="H24" s="1665">
        <f t="shared" si="4"/>
        <v>0</v>
      </c>
      <c r="I24" s="1665">
        <f t="shared" si="4"/>
        <v>3900000</v>
      </c>
      <c r="J24" s="696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</row>
    <row r="25" spans="1:23" s="144" customFormat="1">
      <c r="A25" s="606" t="s">
        <v>17</v>
      </c>
      <c r="B25" s="2201" t="s">
        <v>13</v>
      </c>
      <c r="C25" s="2201"/>
      <c r="D25" s="872">
        <f t="shared" ref="D25:I25" si="5">SUM(D283+D300)</f>
        <v>3076000</v>
      </c>
      <c r="E25" s="1386">
        <f t="shared" si="5"/>
        <v>3076000</v>
      </c>
      <c r="F25" s="1387">
        <f t="shared" si="5"/>
        <v>71100000</v>
      </c>
      <c r="G25" s="1665">
        <f t="shared" si="5"/>
        <v>45600000</v>
      </c>
      <c r="H25" s="1665">
        <f t="shared" si="5"/>
        <v>0</v>
      </c>
      <c r="I25" s="1665">
        <f t="shared" si="5"/>
        <v>45600000</v>
      </c>
      <c r="J25" s="696"/>
      <c r="K25" s="559"/>
      <c r="L25" s="559"/>
      <c r="M25" s="583"/>
      <c r="N25" s="584"/>
      <c r="O25" s="583"/>
      <c r="P25" s="583"/>
      <c r="Q25" s="559"/>
      <c r="R25" s="559"/>
      <c r="S25" s="559"/>
      <c r="T25" s="559"/>
      <c r="U25" s="559"/>
      <c r="V25" s="559"/>
      <c r="W25" s="559"/>
    </row>
    <row r="26" spans="1:23" s="143" customFormat="1" ht="23.4">
      <c r="A26" s="605" t="s">
        <v>18</v>
      </c>
      <c r="B26" s="2214" t="s">
        <v>19</v>
      </c>
      <c r="C26" s="2214"/>
      <c r="D26" s="871">
        <f t="shared" ref="D26:I26" si="6">SUM(D27:D27)</f>
        <v>48000000</v>
      </c>
      <c r="E26" s="1384">
        <f t="shared" si="6"/>
        <v>33275000</v>
      </c>
      <c r="F26" s="1385">
        <f t="shared" si="6"/>
        <v>17000000</v>
      </c>
      <c r="G26" s="1664">
        <f t="shared" si="6"/>
        <v>0</v>
      </c>
      <c r="H26" s="1664">
        <f t="shared" si="6"/>
        <v>0</v>
      </c>
      <c r="I26" s="1664">
        <f t="shared" si="6"/>
        <v>0</v>
      </c>
      <c r="J26" s="697"/>
      <c r="K26" s="558"/>
      <c r="L26" s="585"/>
      <c r="M26" s="586"/>
      <c r="N26" s="586"/>
      <c r="O26" s="586"/>
      <c r="P26" s="586"/>
      <c r="Q26" s="586"/>
      <c r="R26" s="558"/>
      <c r="S26" s="558"/>
      <c r="T26" s="558"/>
      <c r="U26" s="558"/>
      <c r="V26" s="558"/>
      <c r="W26" s="558"/>
    </row>
    <row r="27" spans="1:23" s="144" customFormat="1" ht="23.4">
      <c r="A27" s="606" t="s">
        <v>20</v>
      </c>
      <c r="B27" s="2201" t="s">
        <v>12</v>
      </c>
      <c r="C27" s="2201"/>
      <c r="D27" s="872">
        <f t="shared" ref="D27:I27" si="7">SUM(D124,D159,D203,D204)</f>
        <v>48000000</v>
      </c>
      <c r="E27" s="1386">
        <f t="shared" si="7"/>
        <v>33275000</v>
      </c>
      <c r="F27" s="1387">
        <f t="shared" si="7"/>
        <v>17000000</v>
      </c>
      <c r="G27" s="1665">
        <f t="shared" si="7"/>
        <v>0</v>
      </c>
      <c r="H27" s="1665">
        <f t="shared" si="7"/>
        <v>0</v>
      </c>
      <c r="I27" s="1665">
        <f t="shared" si="7"/>
        <v>0</v>
      </c>
      <c r="J27" s="696"/>
      <c r="K27" s="145" t="s">
        <v>21</v>
      </c>
      <c r="L27" s="146" t="s">
        <v>21</v>
      </c>
      <c r="M27" s="147" t="s">
        <v>21</v>
      </c>
      <c r="N27" s="147" t="s">
        <v>21</v>
      </c>
      <c r="O27" s="147" t="s">
        <v>21</v>
      </c>
      <c r="P27" s="147" t="s">
        <v>21</v>
      </c>
      <c r="Q27" s="147" t="s">
        <v>21</v>
      </c>
      <c r="R27" s="559"/>
      <c r="S27" s="559"/>
      <c r="T27" s="559"/>
      <c r="U27" s="559"/>
      <c r="V27" s="559"/>
      <c r="W27" s="559"/>
    </row>
    <row r="28" spans="1:23" s="143" customFormat="1" ht="23.4">
      <c r="A28" s="605" t="s">
        <v>22</v>
      </c>
      <c r="B28" s="2214" t="s">
        <v>23</v>
      </c>
      <c r="C28" s="2214"/>
      <c r="D28" s="871">
        <f t="shared" ref="D28:I28" si="8">SUM(D163)</f>
        <v>2980196000</v>
      </c>
      <c r="E28" s="1384">
        <f t="shared" si="8"/>
        <v>2980196000</v>
      </c>
      <c r="F28" s="1385">
        <f t="shared" si="8"/>
        <v>3020000000</v>
      </c>
      <c r="G28" s="1664">
        <f t="shared" si="8"/>
        <v>2985000000</v>
      </c>
      <c r="H28" s="1664">
        <f t="shared" si="8"/>
        <v>0</v>
      </c>
      <c r="I28" s="1664">
        <f t="shared" si="8"/>
        <v>2985000000</v>
      </c>
      <c r="J28" s="697"/>
      <c r="K28" s="148" t="e">
        <f>"$#ODWOŁANIE$#ODWOŁANIE"*0.3</f>
        <v>#VALUE!</v>
      </c>
      <c r="L28" s="621"/>
      <c r="M28" s="756">
        <f>INT(E28*0.3)</f>
        <v>894058800</v>
      </c>
      <c r="N28" s="756">
        <f>INT(H28*0.3)</f>
        <v>0</v>
      </c>
      <c r="O28" s="756">
        <f>INT(I28*0.3)</f>
        <v>895500000</v>
      </c>
      <c r="P28" s="756" t="e">
        <f>INT(#REF!*0.3)</f>
        <v>#REF!</v>
      </c>
      <c r="Q28" s="756" t="e">
        <f>INT(#REF!*0.3)</f>
        <v>#REF!</v>
      </c>
      <c r="R28" s="558"/>
      <c r="S28" s="558"/>
      <c r="T28" s="558"/>
      <c r="U28" s="558"/>
      <c r="V28" s="558"/>
      <c r="W28" s="558"/>
    </row>
    <row r="29" spans="1:23" s="143" customFormat="1" ht="40.5" customHeight="1">
      <c r="A29" s="605" t="s">
        <v>24</v>
      </c>
      <c r="B29" s="2215" t="s">
        <v>632</v>
      </c>
      <c r="C29" s="2215"/>
      <c r="D29" s="871">
        <f t="shared" ref="D29:I29" si="9">SUM(D126)</f>
        <v>60000000</v>
      </c>
      <c r="E29" s="1384">
        <f t="shared" si="9"/>
        <v>56000000</v>
      </c>
      <c r="F29" s="1385">
        <f t="shared" si="9"/>
        <v>57000000</v>
      </c>
      <c r="G29" s="1664">
        <f t="shared" si="9"/>
        <v>57000000</v>
      </c>
      <c r="H29" s="1664">
        <f t="shared" si="9"/>
        <v>0</v>
      </c>
      <c r="I29" s="1664">
        <f t="shared" si="9"/>
        <v>57000000</v>
      </c>
      <c r="J29" s="697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</row>
    <row r="30" spans="1:23" s="143" customFormat="1">
      <c r="A30" s="605" t="s">
        <v>25</v>
      </c>
      <c r="B30" s="2214" t="s">
        <v>26</v>
      </c>
      <c r="C30" s="2214"/>
      <c r="D30" s="871">
        <f t="shared" ref="D30:I30" si="10">SUM(D31:D32)</f>
        <v>3500000</v>
      </c>
      <c r="E30" s="1384">
        <f t="shared" si="10"/>
        <v>3282000</v>
      </c>
      <c r="F30" s="1385">
        <f t="shared" si="10"/>
        <v>4220000</v>
      </c>
      <c r="G30" s="1664">
        <f t="shared" si="10"/>
        <v>3220000</v>
      </c>
      <c r="H30" s="1664">
        <f t="shared" si="10"/>
        <v>0</v>
      </c>
      <c r="I30" s="1664">
        <f t="shared" si="10"/>
        <v>3220000</v>
      </c>
      <c r="J30" s="697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</row>
    <row r="31" spans="1:23" s="144" customFormat="1">
      <c r="A31" s="606" t="s">
        <v>27</v>
      </c>
      <c r="B31" s="2201" t="s">
        <v>12</v>
      </c>
      <c r="C31" s="2201"/>
      <c r="D31" s="872">
        <f t="shared" ref="D31:I31" si="11">SUM(D127,D165)</f>
        <v>3500000</v>
      </c>
      <c r="E31" s="1386">
        <f t="shared" si="11"/>
        <v>3282000</v>
      </c>
      <c r="F31" s="1387">
        <f t="shared" si="11"/>
        <v>4220000</v>
      </c>
      <c r="G31" s="1665">
        <f t="shared" si="11"/>
        <v>3220000</v>
      </c>
      <c r="H31" s="1665">
        <f t="shared" si="11"/>
        <v>0</v>
      </c>
      <c r="I31" s="1665">
        <f t="shared" si="11"/>
        <v>3220000</v>
      </c>
      <c r="J31" s="696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</row>
    <row r="32" spans="1:23" s="144" customFormat="1">
      <c r="A32" s="606" t="s">
        <v>28</v>
      </c>
      <c r="B32" s="2201" t="s">
        <v>13</v>
      </c>
      <c r="C32" s="2201"/>
      <c r="D32" s="872">
        <f t="shared" ref="D32:I32" si="12">SUM(D285,D301)</f>
        <v>0</v>
      </c>
      <c r="E32" s="1386">
        <f t="shared" si="12"/>
        <v>0</v>
      </c>
      <c r="F32" s="1387">
        <f t="shared" si="12"/>
        <v>0</v>
      </c>
      <c r="G32" s="1665">
        <f t="shared" si="12"/>
        <v>0</v>
      </c>
      <c r="H32" s="1665">
        <f t="shared" si="12"/>
        <v>0</v>
      </c>
      <c r="I32" s="1665">
        <f t="shared" si="12"/>
        <v>0</v>
      </c>
      <c r="J32" s="696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</row>
    <row r="33" spans="1:23" s="143" customFormat="1">
      <c r="A33" s="605" t="s">
        <v>29</v>
      </c>
      <c r="B33" s="607" t="s">
        <v>30</v>
      </c>
      <c r="C33" s="607"/>
      <c r="D33" s="871">
        <f t="shared" ref="D33:I33" si="13">D164</f>
        <v>3000</v>
      </c>
      <c r="E33" s="1384">
        <f t="shared" si="13"/>
        <v>3000</v>
      </c>
      <c r="F33" s="1385">
        <f t="shared" si="13"/>
        <v>3000</v>
      </c>
      <c r="G33" s="1664">
        <f t="shared" si="13"/>
        <v>3000</v>
      </c>
      <c r="H33" s="1664">
        <f t="shared" si="13"/>
        <v>0</v>
      </c>
      <c r="I33" s="1664">
        <f t="shared" si="13"/>
        <v>3000</v>
      </c>
      <c r="J33" s="697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</row>
    <row r="34" spans="1:23" s="143" customFormat="1" ht="15.75" customHeight="1">
      <c r="A34" s="605" t="s">
        <v>31</v>
      </c>
      <c r="B34" s="2215" t="s">
        <v>32</v>
      </c>
      <c r="C34" s="2215"/>
      <c r="D34" s="871">
        <f t="shared" ref="D34:I34" si="14">SUM(D35:D36)</f>
        <v>110629000</v>
      </c>
      <c r="E34" s="1384">
        <f t="shared" si="14"/>
        <v>110089000</v>
      </c>
      <c r="F34" s="1385">
        <f t="shared" si="14"/>
        <v>182120000</v>
      </c>
      <c r="G34" s="1664">
        <f t="shared" si="14"/>
        <v>116481000</v>
      </c>
      <c r="H34" s="1664">
        <f t="shared" si="14"/>
        <v>0</v>
      </c>
      <c r="I34" s="1664">
        <f t="shared" si="14"/>
        <v>116481000</v>
      </c>
      <c r="J34" s="697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</row>
    <row r="35" spans="1:23" s="144" customFormat="1">
      <c r="A35" s="606" t="s">
        <v>33</v>
      </c>
      <c r="B35" s="2201" t="s">
        <v>12</v>
      </c>
      <c r="C35" s="2201"/>
      <c r="D35" s="872">
        <f t="shared" ref="D35:I35" si="15">SUM(D129,D167,D185)</f>
        <v>90119000</v>
      </c>
      <c r="E35" s="1386">
        <f t="shared" si="15"/>
        <v>89579000</v>
      </c>
      <c r="F35" s="1387">
        <f t="shared" si="15"/>
        <v>99120000</v>
      </c>
      <c r="G35" s="1665">
        <f t="shared" si="15"/>
        <v>63481000</v>
      </c>
      <c r="H35" s="1665">
        <f t="shared" si="15"/>
        <v>0</v>
      </c>
      <c r="I35" s="1665">
        <f t="shared" si="15"/>
        <v>63481000</v>
      </c>
      <c r="J35" s="696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</row>
    <row r="36" spans="1:23" s="144" customFormat="1">
      <c r="A36" s="606" t="s">
        <v>34</v>
      </c>
      <c r="B36" s="2201" t="s">
        <v>13</v>
      </c>
      <c r="C36" s="2201"/>
      <c r="D36" s="872">
        <f t="shared" ref="D36:I36" si="16">SUM(D286,D304)</f>
        <v>20510000</v>
      </c>
      <c r="E36" s="1386">
        <f t="shared" si="16"/>
        <v>20510000</v>
      </c>
      <c r="F36" s="1387">
        <f t="shared" si="16"/>
        <v>83000000</v>
      </c>
      <c r="G36" s="1665">
        <f t="shared" si="16"/>
        <v>53000000</v>
      </c>
      <c r="H36" s="1665">
        <f t="shared" si="16"/>
        <v>0</v>
      </c>
      <c r="I36" s="1665">
        <f t="shared" si="16"/>
        <v>53000000</v>
      </c>
      <c r="J36" s="696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/>
    </row>
    <row r="37" spans="1:23" s="143" customFormat="1">
      <c r="A37" s="605" t="s">
        <v>35</v>
      </c>
      <c r="B37" s="608" t="s">
        <v>36</v>
      </c>
      <c r="C37" s="609"/>
      <c r="D37" s="871">
        <f t="shared" ref="D37:I37" si="17">SUM(D38)</f>
        <v>3000000</v>
      </c>
      <c r="E37" s="1384">
        <f t="shared" si="17"/>
        <v>2000000</v>
      </c>
      <c r="F37" s="1385">
        <f t="shared" si="17"/>
        <v>3000000</v>
      </c>
      <c r="G37" s="1664">
        <f t="shared" si="17"/>
        <v>2500000</v>
      </c>
      <c r="H37" s="1664">
        <f t="shared" si="17"/>
        <v>0</v>
      </c>
      <c r="I37" s="1664">
        <f t="shared" si="17"/>
        <v>2500000</v>
      </c>
      <c r="J37" s="697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</row>
    <row r="38" spans="1:23" s="144" customFormat="1">
      <c r="A38" s="606" t="s">
        <v>37</v>
      </c>
      <c r="B38" s="2201" t="s">
        <v>12</v>
      </c>
      <c r="C38" s="2201"/>
      <c r="D38" s="872">
        <f t="shared" ref="D38:I38" si="18">D161</f>
        <v>3000000</v>
      </c>
      <c r="E38" s="1386">
        <f t="shared" si="18"/>
        <v>2000000</v>
      </c>
      <c r="F38" s="1387">
        <f t="shared" si="18"/>
        <v>3000000</v>
      </c>
      <c r="G38" s="1665">
        <f t="shared" si="18"/>
        <v>2500000</v>
      </c>
      <c r="H38" s="1665">
        <f t="shared" si="18"/>
        <v>0</v>
      </c>
      <c r="I38" s="1665">
        <f t="shared" si="18"/>
        <v>2500000</v>
      </c>
      <c r="J38" s="696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</row>
    <row r="39" spans="1:23" s="143" customFormat="1" ht="28.8">
      <c r="A39" s="605" t="s">
        <v>38</v>
      </c>
      <c r="B39" s="608" t="s">
        <v>39</v>
      </c>
      <c r="C39" s="609"/>
      <c r="D39" s="871">
        <f t="shared" ref="D39:I39" si="19">SUM(D40:D41)</f>
        <v>7000000</v>
      </c>
      <c r="E39" s="1384">
        <f t="shared" si="19"/>
        <v>7000000</v>
      </c>
      <c r="F39" s="1385">
        <f t="shared" si="19"/>
        <v>14000000</v>
      </c>
      <c r="G39" s="1664">
        <f t="shared" si="19"/>
        <v>10000000</v>
      </c>
      <c r="H39" s="1664">
        <f t="shared" si="19"/>
        <v>0</v>
      </c>
      <c r="I39" s="1664">
        <f t="shared" si="19"/>
        <v>10000000</v>
      </c>
      <c r="J39" s="697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</row>
    <row r="40" spans="1:23" s="144" customFormat="1">
      <c r="A40" s="606" t="s">
        <v>40</v>
      </c>
      <c r="B40" s="2201" t="s">
        <v>12</v>
      </c>
      <c r="C40" s="2201"/>
      <c r="D40" s="872">
        <f t="shared" ref="D40:I40" si="20">D162</f>
        <v>5000000</v>
      </c>
      <c r="E40" s="1386">
        <f t="shared" si="20"/>
        <v>5000000</v>
      </c>
      <c r="F40" s="1387">
        <f t="shared" si="20"/>
        <v>9000000</v>
      </c>
      <c r="G40" s="1665">
        <f t="shared" si="20"/>
        <v>6500000</v>
      </c>
      <c r="H40" s="1665">
        <f t="shared" si="20"/>
        <v>0</v>
      </c>
      <c r="I40" s="1665">
        <f t="shared" si="20"/>
        <v>6500000</v>
      </c>
      <c r="J40" s="696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</row>
    <row r="41" spans="1:23" s="144" customFormat="1">
      <c r="A41" s="606" t="s">
        <v>41</v>
      </c>
      <c r="B41" s="2201" t="s">
        <v>13</v>
      </c>
      <c r="C41" s="2201"/>
      <c r="D41" s="872">
        <f t="shared" ref="D41:I41" si="21">D302</f>
        <v>2000000</v>
      </c>
      <c r="E41" s="1386">
        <f t="shared" si="21"/>
        <v>2000000</v>
      </c>
      <c r="F41" s="1387">
        <f t="shared" si="21"/>
        <v>5000000</v>
      </c>
      <c r="G41" s="1665">
        <f t="shared" si="21"/>
        <v>3500000</v>
      </c>
      <c r="H41" s="1665">
        <f t="shared" si="21"/>
        <v>0</v>
      </c>
      <c r="I41" s="1665">
        <f t="shared" si="21"/>
        <v>3500000</v>
      </c>
      <c r="J41" s="696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</row>
    <row r="42" spans="1:23" s="143" customFormat="1">
      <c r="A42" s="605" t="s">
        <v>42</v>
      </c>
      <c r="B42" s="2214" t="s">
        <v>43</v>
      </c>
      <c r="C42" s="2214"/>
      <c r="D42" s="871">
        <f t="shared" ref="D42:I42" si="22">SUM(D155)</f>
        <v>94610000</v>
      </c>
      <c r="E42" s="1384">
        <f t="shared" si="22"/>
        <v>94610000</v>
      </c>
      <c r="F42" s="1385">
        <f t="shared" si="22"/>
        <v>105837000</v>
      </c>
      <c r="G42" s="1664">
        <f t="shared" si="22"/>
        <v>97600000</v>
      </c>
      <c r="H42" s="1664">
        <f t="shared" si="22"/>
        <v>0</v>
      </c>
      <c r="I42" s="1664">
        <f t="shared" si="22"/>
        <v>97600000</v>
      </c>
      <c r="J42" s="697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</row>
    <row r="43" spans="1:23" s="143" customFormat="1">
      <c r="A43" s="605" t="s">
        <v>44</v>
      </c>
      <c r="B43" s="610" t="s">
        <v>45</v>
      </c>
      <c r="C43" s="610"/>
      <c r="D43" s="871">
        <f t="shared" ref="D43:I43" si="23">SUM(D44:D45)</f>
        <v>174401000</v>
      </c>
      <c r="E43" s="1384">
        <f t="shared" si="23"/>
        <v>173145000</v>
      </c>
      <c r="F43" s="1385">
        <f t="shared" si="23"/>
        <v>275000000</v>
      </c>
      <c r="G43" s="1664">
        <f t="shared" si="23"/>
        <v>210000000</v>
      </c>
      <c r="H43" s="1664">
        <f t="shared" si="23"/>
        <v>0</v>
      </c>
      <c r="I43" s="1664">
        <f t="shared" si="23"/>
        <v>210000000</v>
      </c>
      <c r="J43" s="697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</row>
    <row r="44" spans="1:23" s="144" customFormat="1">
      <c r="A44" s="606" t="s">
        <v>46</v>
      </c>
      <c r="B44" s="2201" t="s">
        <v>12</v>
      </c>
      <c r="C44" s="2201"/>
      <c r="D44" s="872">
        <f t="shared" ref="D44:I44" si="24">SUM(D128+D166)</f>
        <v>172095000</v>
      </c>
      <c r="E44" s="1386">
        <f t="shared" si="24"/>
        <v>171745000</v>
      </c>
      <c r="F44" s="1387">
        <f t="shared" si="24"/>
        <v>272000000</v>
      </c>
      <c r="G44" s="1665">
        <f t="shared" si="24"/>
        <v>207700000</v>
      </c>
      <c r="H44" s="1665">
        <f t="shared" si="24"/>
        <v>0</v>
      </c>
      <c r="I44" s="1665">
        <f t="shared" si="24"/>
        <v>207700000</v>
      </c>
      <c r="J44" s="696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</row>
    <row r="45" spans="1:23" s="144" customFormat="1">
      <c r="A45" s="606" t="s">
        <v>47</v>
      </c>
      <c r="B45" s="2201" t="s">
        <v>13</v>
      </c>
      <c r="C45" s="2201"/>
      <c r="D45" s="872">
        <f t="shared" ref="D45:I45" si="25">SUM(D303+D284)</f>
        <v>2306000</v>
      </c>
      <c r="E45" s="1386">
        <f t="shared" si="25"/>
        <v>1400000</v>
      </c>
      <c r="F45" s="1387">
        <f t="shared" si="25"/>
        <v>3000000</v>
      </c>
      <c r="G45" s="1665">
        <f t="shared" si="25"/>
        <v>2300000</v>
      </c>
      <c r="H45" s="1665">
        <f t="shared" si="25"/>
        <v>0</v>
      </c>
      <c r="I45" s="1665">
        <f t="shared" si="25"/>
        <v>2300000</v>
      </c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</row>
    <row r="46" spans="1:23" s="143" customFormat="1">
      <c r="A46" s="605" t="s">
        <v>48</v>
      </c>
      <c r="B46" s="2214" t="s">
        <v>49</v>
      </c>
      <c r="C46" s="2214"/>
      <c r="D46" s="871">
        <f t="shared" ref="D46:I46" si="26">D316</f>
        <v>915783000</v>
      </c>
      <c r="E46" s="1384">
        <f t="shared" si="26"/>
        <v>915783000</v>
      </c>
      <c r="F46" s="1385">
        <f t="shared" si="26"/>
        <v>922378500</v>
      </c>
      <c r="G46" s="1664">
        <f t="shared" si="26"/>
        <v>922379000</v>
      </c>
      <c r="H46" s="1664">
        <f t="shared" si="26"/>
        <v>0</v>
      </c>
      <c r="I46" s="1664">
        <f t="shared" si="26"/>
        <v>922379000</v>
      </c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</row>
    <row r="47" spans="1:23" s="143" customFormat="1">
      <c r="A47" s="605" t="s">
        <v>50</v>
      </c>
      <c r="B47" s="2214" t="s">
        <v>51</v>
      </c>
      <c r="C47" s="2214"/>
      <c r="D47" s="871">
        <f t="shared" ref="D47:I47" si="27">SUM(D48:D52,D57)</f>
        <v>305662000</v>
      </c>
      <c r="E47" s="1384">
        <f t="shared" si="27"/>
        <v>305647000</v>
      </c>
      <c r="F47" s="1385">
        <f t="shared" si="27"/>
        <v>311302726</v>
      </c>
      <c r="G47" s="1664">
        <f t="shared" si="27"/>
        <v>335682000</v>
      </c>
      <c r="H47" s="1664">
        <f t="shared" si="27"/>
        <v>0</v>
      </c>
      <c r="I47" s="1664">
        <f t="shared" si="27"/>
        <v>335682000</v>
      </c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</row>
    <row r="48" spans="1:23" s="144" customFormat="1">
      <c r="A48" s="606" t="s">
        <v>52</v>
      </c>
      <c r="B48" s="2201" t="s">
        <v>53</v>
      </c>
      <c r="C48" s="2201"/>
      <c r="D48" s="872">
        <f>SUM(D225)</f>
        <v>52282000</v>
      </c>
      <c r="E48" s="1386">
        <f>SUM(E225)</f>
        <v>52282000</v>
      </c>
      <c r="F48" s="1387">
        <f>SUM(F225)</f>
        <v>62282000</v>
      </c>
      <c r="G48" s="1665">
        <f>SUM(G225)+G205</f>
        <v>57798000</v>
      </c>
      <c r="H48" s="1665">
        <f>SUM(H225)+H205</f>
        <v>0</v>
      </c>
      <c r="I48" s="1665">
        <f>SUM(I225)+I205</f>
        <v>57798000</v>
      </c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</row>
    <row r="49" spans="1:23" s="144" customFormat="1">
      <c r="A49" s="606" t="s">
        <v>54</v>
      </c>
      <c r="B49" s="2201" t="s">
        <v>55</v>
      </c>
      <c r="C49" s="2201"/>
      <c r="D49" s="872">
        <f>SUM(D230)</f>
        <v>9392000</v>
      </c>
      <c r="E49" s="1386">
        <f>SUM(E230)</f>
        <v>9392000</v>
      </c>
      <c r="F49" s="1387">
        <f>SUM(F230)</f>
        <v>11866000</v>
      </c>
      <c r="G49" s="1665">
        <f>SUM(G230)+G206</f>
        <v>11141000</v>
      </c>
      <c r="H49" s="1665">
        <f>SUM(H230)+H206</f>
        <v>0</v>
      </c>
      <c r="I49" s="1665">
        <f>SUM(I230)+I206</f>
        <v>11141000</v>
      </c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</row>
    <row r="50" spans="1:23" s="144" customFormat="1">
      <c r="A50" s="606" t="s">
        <v>56</v>
      </c>
      <c r="B50" s="2201" t="s">
        <v>57</v>
      </c>
      <c r="C50" s="2201"/>
      <c r="D50" s="872">
        <f>SUM(D233)</f>
        <v>1311000</v>
      </c>
      <c r="E50" s="1386">
        <f>SUM(E233)</f>
        <v>1311000</v>
      </c>
      <c r="F50" s="1387">
        <f>SUM(F233)</f>
        <v>1660000</v>
      </c>
      <c r="G50" s="1665">
        <f>SUM(G233)+G207</f>
        <v>1551000</v>
      </c>
      <c r="H50" s="1665">
        <f>SUM(H233)+H207</f>
        <v>0</v>
      </c>
      <c r="I50" s="1665">
        <f>SUM(I233)+I207</f>
        <v>1551000</v>
      </c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</row>
    <row r="51" spans="1:23" s="144" customFormat="1">
      <c r="A51" s="606" t="s">
        <v>58</v>
      </c>
      <c r="B51" s="2201" t="s">
        <v>59</v>
      </c>
      <c r="C51" s="2201"/>
      <c r="D51" s="872">
        <f>SUM(D228)</f>
        <v>1200000</v>
      </c>
      <c r="E51" s="1386">
        <f>SUM(E228)</f>
        <v>1200000</v>
      </c>
      <c r="F51" s="1387">
        <f>SUM(F228)</f>
        <v>1220000</v>
      </c>
      <c r="G51" s="1665">
        <f>SUM(G228)+G208</f>
        <v>1200000</v>
      </c>
      <c r="H51" s="1665">
        <f>SUM(H228)+H208</f>
        <v>0</v>
      </c>
      <c r="I51" s="1665">
        <f>SUM(I228)+I208</f>
        <v>1200000</v>
      </c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</row>
    <row r="52" spans="1:23" s="144" customFormat="1">
      <c r="A52" s="606" t="s">
        <v>60</v>
      </c>
      <c r="B52" s="2201" t="s">
        <v>61</v>
      </c>
      <c r="C52" s="2201"/>
      <c r="D52" s="872">
        <f>SUM(D236)</f>
        <v>46477000</v>
      </c>
      <c r="E52" s="1386">
        <f>SUM(E236)</f>
        <v>46462000</v>
      </c>
      <c r="F52" s="1387">
        <f>SUM(F236)</f>
        <v>54275726</v>
      </c>
      <c r="G52" s="1665">
        <f>G236+G209</f>
        <v>83993000</v>
      </c>
      <c r="H52" s="1665">
        <f>H236+H209</f>
        <v>0</v>
      </c>
      <c r="I52" s="1665">
        <f>I236+I209</f>
        <v>83993000</v>
      </c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</row>
    <row r="53" spans="1:23" s="144" customFormat="1">
      <c r="A53" s="606" t="s">
        <v>62</v>
      </c>
      <c r="B53" s="2212" t="s">
        <v>667</v>
      </c>
      <c r="C53" s="2212"/>
      <c r="D53" s="872">
        <f>D244</f>
        <v>1616000</v>
      </c>
      <c r="E53" s="1386">
        <f>E244</f>
        <v>1596000</v>
      </c>
      <c r="F53" s="1387">
        <f>F244</f>
        <v>1619000</v>
      </c>
      <c r="G53" s="1665">
        <f>G239+G210</f>
        <v>47404000</v>
      </c>
      <c r="H53" s="1665">
        <f>H239+H210</f>
        <v>0</v>
      </c>
      <c r="I53" s="1665">
        <f>I239+I210</f>
        <v>47404000</v>
      </c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</row>
    <row r="54" spans="1:23" s="144" customFormat="1">
      <c r="A54" s="606" t="s">
        <v>64</v>
      </c>
      <c r="B54" s="1645" t="str">
        <f>'Pl 2014-17 PFC MF'!B53</f>
        <v xml:space="preserve">  - pozostałe, z tego:</v>
      </c>
      <c r="C54" s="1645"/>
      <c r="D54" s="872"/>
      <c r="E54" s="1386"/>
      <c r="F54" s="1387"/>
      <c r="G54" s="1665">
        <f>'Pl 2016-20 PFC'!G252</f>
        <v>36589000</v>
      </c>
      <c r="H54" s="1665">
        <f>'Pl 2016-20 PFC'!H252</f>
        <v>0</v>
      </c>
      <c r="I54" s="1665">
        <f>'Pl 2016-20 PFC'!I252</f>
        <v>36589000</v>
      </c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</row>
    <row r="55" spans="1:23" s="144" customFormat="1">
      <c r="A55" s="606" t="s">
        <v>1078</v>
      </c>
      <c r="B55" s="2212" t="s">
        <v>65</v>
      </c>
      <c r="C55" s="2212"/>
      <c r="D55" s="872">
        <f>SUM(D270)</f>
        <v>20990000</v>
      </c>
      <c r="E55" s="1386">
        <f>SUM(E270)</f>
        <v>20025000</v>
      </c>
      <c r="F55" s="1387">
        <f>SUM(F270)</f>
        <v>25442000</v>
      </c>
      <c r="G55" s="1665">
        <f>G270</f>
        <v>25442000</v>
      </c>
      <c r="H55" s="1665">
        <f>H270</f>
        <v>0</v>
      </c>
      <c r="I55" s="1665">
        <f>I270</f>
        <v>25442000</v>
      </c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</row>
    <row r="56" spans="1:23" s="144" customFormat="1">
      <c r="A56" s="606" t="s">
        <v>1079</v>
      </c>
      <c r="B56" s="1645" t="str">
        <f>'Pl 2014-17 PFC MF'!B55</f>
        <v xml:space="preserve">  - inne</v>
      </c>
      <c r="C56" s="1645"/>
      <c r="D56" s="872"/>
      <c r="E56" s="1386"/>
      <c r="F56" s="1387"/>
      <c r="G56" s="1665">
        <f>G253+G215</f>
        <v>11147000</v>
      </c>
      <c r="H56" s="1665">
        <f>H253+H215</f>
        <v>0</v>
      </c>
      <c r="I56" s="1665">
        <f>I253+I215</f>
        <v>11147000</v>
      </c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</row>
    <row r="57" spans="1:23" s="144" customFormat="1" ht="15.75" customHeight="1">
      <c r="A57" s="606" t="s">
        <v>66</v>
      </c>
      <c r="B57" s="2213" t="s">
        <v>67</v>
      </c>
      <c r="C57" s="2213"/>
      <c r="D57" s="872">
        <f t="shared" ref="D57:I57" si="28">SUM(D271)</f>
        <v>195000000</v>
      </c>
      <c r="E57" s="1386">
        <f t="shared" si="28"/>
        <v>195000000</v>
      </c>
      <c r="F57" s="1387">
        <f t="shared" si="28"/>
        <v>179999000</v>
      </c>
      <c r="G57" s="1665">
        <f t="shared" si="28"/>
        <v>179999000</v>
      </c>
      <c r="H57" s="1665">
        <f t="shared" si="28"/>
        <v>0</v>
      </c>
      <c r="I57" s="1665">
        <f t="shared" si="28"/>
        <v>179999000</v>
      </c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</row>
    <row r="58" spans="1:23" s="143" customFormat="1">
      <c r="A58" s="605" t="s">
        <v>68</v>
      </c>
      <c r="B58" s="2214" t="s">
        <v>69</v>
      </c>
      <c r="C58" s="2214"/>
      <c r="D58" s="871">
        <f t="shared" ref="D58:I58" si="29">SUM(D198)</f>
        <v>3716000</v>
      </c>
      <c r="E58" s="1384">
        <f t="shared" si="29"/>
        <v>3716000</v>
      </c>
      <c r="F58" s="1385">
        <f t="shared" si="29"/>
        <v>3782000</v>
      </c>
      <c r="G58" s="1664">
        <f t="shared" si="29"/>
        <v>3782000</v>
      </c>
      <c r="H58" s="1664">
        <f t="shared" si="29"/>
        <v>0</v>
      </c>
      <c r="I58" s="1664">
        <f t="shared" si="29"/>
        <v>3782000</v>
      </c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</row>
    <row r="59" spans="1:23" s="143" customFormat="1">
      <c r="A59" s="605" t="s">
        <v>70</v>
      </c>
      <c r="B59" s="2214" t="s">
        <v>71</v>
      </c>
      <c r="C59" s="2214"/>
      <c r="D59" s="871">
        <f t="shared" ref="D59:I59" si="30">SUM(D276:D277)</f>
        <v>62633000</v>
      </c>
      <c r="E59" s="1384">
        <f t="shared" si="30"/>
        <v>29870000</v>
      </c>
      <c r="F59" s="1385">
        <f t="shared" si="30"/>
        <v>45900000</v>
      </c>
      <c r="G59" s="1664">
        <f t="shared" si="30"/>
        <v>45489000</v>
      </c>
      <c r="H59" s="1664">
        <f t="shared" si="30"/>
        <v>0</v>
      </c>
      <c r="I59" s="1664">
        <f t="shared" si="30"/>
        <v>45489000</v>
      </c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</row>
    <row r="60" spans="1:23" s="143" customFormat="1">
      <c r="A60" s="605" t="s">
        <v>72</v>
      </c>
      <c r="B60" s="2214" t="s">
        <v>73</v>
      </c>
      <c r="C60" s="2214"/>
      <c r="D60" s="873">
        <f t="shared" ref="D60:I60" si="31">SUM(D326)</f>
        <v>4140000</v>
      </c>
      <c r="E60" s="1388">
        <f t="shared" si="31"/>
        <v>4118000</v>
      </c>
      <c r="F60" s="1389">
        <f t="shared" si="31"/>
        <v>1650000</v>
      </c>
      <c r="G60" s="1666">
        <f t="shared" si="31"/>
        <v>1650000</v>
      </c>
      <c r="H60" s="1666">
        <f t="shared" si="31"/>
        <v>0</v>
      </c>
      <c r="I60" s="1666">
        <f t="shared" si="31"/>
        <v>1650000</v>
      </c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</row>
    <row r="61" spans="1:23" s="149" customFormat="1" ht="28.8">
      <c r="A61" s="611" t="s">
        <v>74</v>
      </c>
      <c r="B61" s="612" t="s">
        <v>75</v>
      </c>
      <c r="C61" s="613"/>
      <c r="D61" s="873">
        <f t="shared" ref="D61:I61" si="32">SUM(D62)</f>
        <v>1750000</v>
      </c>
      <c r="E61" s="1388">
        <f t="shared" si="32"/>
        <v>1650000</v>
      </c>
      <c r="F61" s="1389">
        <f t="shared" si="32"/>
        <v>2500000</v>
      </c>
      <c r="G61" s="1666">
        <f t="shared" si="32"/>
        <v>2500000</v>
      </c>
      <c r="H61" s="1666">
        <f t="shared" si="32"/>
        <v>0</v>
      </c>
      <c r="I61" s="1666">
        <f t="shared" si="32"/>
        <v>2500000</v>
      </c>
      <c r="J61" s="560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</row>
    <row r="62" spans="1:23" s="151" customFormat="1">
      <c r="A62" s="614" t="s">
        <v>76</v>
      </c>
      <c r="B62" s="2201" t="s">
        <v>12</v>
      </c>
      <c r="C62" s="2201"/>
      <c r="D62" s="874">
        <f t="shared" ref="D62:I62" si="33">SUM(D184)</f>
        <v>1750000</v>
      </c>
      <c r="E62" s="1390">
        <f t="shared" si="33"/>
        <v>1650000</v>
      </c>
      <c r="F62" s="1391">
        <f t="shared" si="33"/>
        <v>2500000</v>
      </c>
      <c r="G62" s="1667">
        <f t="shared" si="33"/>
        <v>2500000</v>
      </c>
      <c r="H62" s="1667">
        <f t="shared" si="33"/>
        <v>0</v>
      </c>
      <c r="I62" s="1667">
        <f t="shared" si="33"/>
        <v>2500000</v>
      </c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</row>
    <row r="63" spans="1:23" s="151" customFormat="1" hidden="1">
      <c r="A63" s="150" t="s">
        <v>77</v>
      </c>
      <c r="B63" s="2201" t="s">
        <v>13</v>
      </c>
      <c r="C63" s="2201"/>
      <c r="D63" s="875"/>
      <c r="E63" s="1392"/>
      <c r="F63" s="1393"/>
      <c r="G63" s="1668"/>
      <c r="H63" s="1668"/>
      <c r="I63" s="1668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</row>
    <row r="64" spans="1:23" s="152" customFormat="1" ht="15.75" customHeight="1">
      <c r="A64" s="616"/>
      <c r="B64" s="2208"/>
      <c r="C64" s="2208"/>
      <c r="D64" s="876"/>
      <c r="E64" s="1394"/>
      <c r="F64" s="1395"/>
      <c r="G64" s="1669"/>
      <c r="H64" s="1669"/>
      <c r="I64" s="1669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</row>
    <row r="65" spans="1:23" s="133" customFormat="1" ht="18">
      <c r="A65" s="552"/>
      <c r="B65" s="552"/>
      <c r="C65" s="552"/>
      <c r="D65" s="877"/>
      <c r="E65" s="1396"/>
      <c r="F65" s="1397"/>
      <c r="G65" s="1670"/>
      <c r="H65" s="1671"/>
      <c r="I65" s="1671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</row>
    <row r="66" spans="1:23" ht="18.600000000000001" thickBot="1">
      <c r="A66" s="137" t="s">
        <v>78</v>
      </c>
      <c r="B66" s="615"/>
      <c r="C66" s="592"/>
      <c r="D66" s="878"/>
      <c r="E66" s="1398"/>
      <c r="F66" s="1399"/>
      <c r="G66" s="1672"/>
      <c r="H66" s="1672"/>
      <c r="I66" s="1672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</row>
    <row r="67" spans="1:23" s="138" customFormat="1" ht="74.25" customHeight="1" thickBot="1">
      <c r="A67" s="2209" t="s">
        <v>7</v>
      </c>
      <c r="B67" s="2210" t="s">
        <v>8</v>
      </c>
      <c r="C67" s="2211" t="s">
        <v>79</v>
      </c>
      <c r="D67" s="854" t="s">
        <v>1015</v>
      </c>
      <c r="E67" s="1400" t="str">
        <f>E14&amp;E15</f>
        <v>Przewidywane 
wykonanie 
w 2015</v>
      </c>
      <c r="F67" s="1401" t="str">
        <f>F14&amp;" "&amp;F15&amp; " r."</f>
        <v>Projekt planu 
na 2016 r.</v>
      </c>
      <c r="G67" s="1673" t="str">
        <f>G14&amp;" "&amp;G15&amp; " r."</f>
        <v>Plan wg Ustawy Budżetowej 
na 2016 r.</v>
      </c>
      <c r="H67" s="1673" t="str">
        <f>H14&amp;" "&amp;H15&amp; " "</f>
        <v xml:space="preserve">Zmiany  </v>
      </c>
      <c r="I67" s="1673" t="str">
        <f>I14&amp;" "&amp;I15&amp; ""</f>
        <v xml:space="preserve">Plan 
po zmianach </v>
      </c>
      <c r="J67" s="553"/>
      <c r="K67" s="553"/>
      <c r="L67" s="553"/>
      <c r="M67" s="553"/>
      <c r="N67" s="553"/>
      <c r="O67" s="553"/>
      <c r="P67" s="553"/>
      <c r="Q67" s="553"/>
      <c r="R67" s="553"/>
      <c r="S67" s="553"/>
      <c r="T67" s="553"/>
      <c r="U67" s="553"/>
      <c r="V67" s="553"/>
      <c r="W67" s="553"/>
    </row>
    <row r="68" spans="1:23" s="154" customFormat="1" ht="16.5" customHeight="1" thickBot="1">
      <c r="A68" s="2209"/>
      <c r="B68" s="2210"/>
      <c r="C68" s="2211"/>
      <c r="D68" s="854"/>
      <c r="E68" s="2203" t="str">
        <f>E16</f>
        <v>w tysiącach złotych</v>
      </c>
      <c r="F68" s="2204"/>
      <c r="G68" s="2204"/>
      <c r="H68" s="2204"/>
      <c r="I68" s="2204"/>
      <c r="J68" s="563"/>
      <c r="K68" s="563"/>
      <c r="L68" s="587"/>
      <c r="M68" s="587"/>
      <c r="N68" s="587"/>
      <c r="O68" s="587"/>
      <c r="P68" s="563"/>
      <c r="Q68" s="563"/>
      <c r="R68" s="563"/>
      <c r="S68" s="563"/>
      <c r="T68" s="563"/>
      <c r="U68" s="563"/>
      <c r="V68" s="563"/>
      <c r="W68" s="563"/>
    </row>
    <row r="69" spans="1:23" s="139" customFormat="1" ht="12.9" customHeight="1" thickBot="1">
      <c r="A69" s="595"/>
      <c r="B69" s="617"/>
      <c r="C69" s="597"/>
      <c r="D69" s="865"/>
      <c r="E69" s="1372"/>
      <c r="F69" s="1373"/>
      <c r="G69" s="1658"/>
      <c r="H69" s="1658"/>
      <c r="I69" s="1658"/>
      <c r="J69" s="555"/>
      <c r="K69" s="555"/>
      <c r="L69" s="566"/>
      <c r="M69" s="566"/>
      <c r="N69" s="566"/>
      <c r="O69" s="566"/>
      <c r="P69" s="555"/>
      <c r="Q69" s="555"/>
      <c r="R69" s="555"/>
      <c r="S69" s="555"/>
      <c r="T69" s="555"/>
      <c r="U69" s="555"/>
      <c r="V69" s="555"/>
      <c r="W69" s="555"/>
    </row>
    <row r="70" spans="1:23" s="139" customFormat="1" ht="19.5" customHeight="1">
      <c r="A70" s="598"/>
      <c r="B70" s="618"/>
      <c r="C70" s="600"/>
      <c r="D70" s="866"/>
      <c r="E70" s="1402"/>
      <c r="F70" s="1375"/>
      <c r="G70" s="1659"/>
      <c r="H70" s="1659"/>
      <c r="I70" s="1659"/>
      <c r="J70" s="555"/>
      <c r="K70" s="555"/>
      <c r="L70" s="566"/>
      <c r="M70" s="566"/>
      <c r="N70" s="566"/>
      <c r="O70" s="566"/>
      <c r="P70" s="555"/>
      <c r="Q70" s="555"/>
      <c r="R70" s="555"/>
      <c r="S70" s="555"/>
      <c r="T70" s="555"/>
      <c r="U70" s="555"/>
      <c r="V70" s="555"/>
      <c r="W70" s="555"/>
    </row>
    <row r="71" spans="1:23" s="159" customFormat="1">
      <c r="A71" s="156" t="s">
        <v>10</v>
      </c>
      <c r="B71" s="157" t="s">
        <v>645</v>
      </c>
      <c r="C71" s="158" t="s">
        <v>81</v>
      </c>
      <c r="D71" s="879">
        <f t="shared" ref="D71:I71" si="34">SUM(D73:D76,D79)+SUM(D83:D88)</f>
        <v>294760000</v>
      </c>
      <c r="E71" s="1403">
        <f t="shared" si="34"/>
        <v>376115000</v>
      </c>
      <c r="F71" s="1404">
        <f t="shared" si="34"/>
        <v>294248000</v>
      </c>
      <c r="G71" s="1674">
        <f t="shared" si="34"/>
        <v>294248000</v>
      </c>
      <c r="H71" s="1674">
        <f t="shared" si="34"/>
        <v>0</v>
      </c>
      <c r="I71" s="1674">
        <f t="shared" si="34"/>
        <v>294248000</v>
      </c>
      <c r="J71" s="698"/>
      <c r="K71" s="564"/>
      <c r="L71" s="588"/>
      <c r="M71" s="588"/>
      <c r="N71" s="588"/>
      <c r="O71" s="588"/>
      <c r="P71" s="564"/>
      <c r="Q71" s="564"/>
      <c r="R71" s="564"/>
      <c r="S71" s="564"/>
      <c r="T71" s="564"/>
      <c r="U71" s="564"/>
      <c r="V71" s="564"/>
      <c r="W71" s="564"/>
    </row>
    <row r="72" spans="1:23" s="163" customFormat="1" ht="15.75" customHeight="1">
      <c r="A72" s="619"/>
      <c r="B72" s="160" t="s">
        <v>82</v>
      </c>
      <c r="C72" s="620"/>
      <c r="D72" s="880"/>
      <c r="E72" s="1405"/>
      <c r="F72" s="1406"/>
      <c r="G72" s="548"/>
      <c r="H72" s="548"/>
      <c r="I72" s="548"/>
      <c r="J72" s="675"/>
      <c r="K72" s="565"/>
      <c r="L72" s="566"/>
      <c r="M72" s="566"/>
      <c r="N72" s="566"/>
      <c r="O72" s="566"/>
      <c r="P72" s="565"/>
      <c r="Q72" s="565"/>
      <c r="R72" s="565"/>
      <c r="S72" s="565"/>
      <c r="T72" s="565"/>
      <c r="U72" s="565"/>
      <c r="V72" s="565"/>
      <c r="W72" s="565"/>
    </row>
    <row r="73" spans="1:23" s="155" customFormat="1" ht="15.75" customHeight="1">
      <c r="A73" s="164" t="s">
        <v>14</v>
      </c>
      <c r="B73" s="165" t="s">
        <v>83</v>
      </c>
      <c r="C73" s="161" t="s">
        <v>81</v>
      </c>
      <c r="D73" s="881">
        <v>301954000</v>
      </c>
      <c r="E73" s="1407">
        <v>365131000</v>
      </c>
      <c r="F73" s="1408">
        <f t="shared" ref="F73:F88" si="35">E333</f>
        <v>340016000</v>
      </c>
      <c r="G73" s="757">
        <f t="shared" ref="G73:G88" si="36">E333</f>
        <v>340016000</v>
      </c>
      <c r="H73" s="757"/>
      <c r="I73" s="757">
        <f>G73+H73</f>
        <v>340016000</v>
      </c>
      <c r="J73" s="675"/>
      <c r="K73" s="629"/>
      <c r="L73" s="565"/>
      <c r="M73" s="566"/>
      <c r="N73" s="566"/>
      <c r="O73" s="566"/>
      <c r="P73" s="566"/>
      <c r="Q73" s="566"/>
      <c r="R73" s="566"/>
      <c r="S73" s="566"/>
      <c r="T73" s="566"/>
      <c r="U73" s="566"/>
      <c r="V73" s="566"/>
      <c r="W73" s="566"/>
    </row>
    <row r="74" spans="1:23" s="155" customFormat="1" ht="15.75" customHeight="1">
      <c r="A74" s="164" t="s">
        <v>18</v>
      </c>
      <c r="B74" s="165" t="s">
        <v>84</v>
      </c>
      <c r="C74" s="161" t="s">
        <v>81</v>
      </c>
      <c r="D74" s="881">
        <v>0</v>
      </c>
      <c r="E74" s="1407"/>
      <c r="F74" s="1408">
        <f t="shared" si="35"/>
        <v>0</v>
      </c>
      <c r="G74" s="757">
        <f t="shared" si="36"/>
        <v>0</v>
      </c>
      <c r="H74" s="757"/>
      <c r="I74" s="757">
        <f t="shared" ref="I74:I88" si="37">G74+H74</f>
        <v>0</v>
      </c>
      <c r="J74" s="675"/>
      <c r="K74" s="629"/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66"/>
      <c r="W74" s="566"/>
    </row>
    <row r="75" spans="1:23" s="155" customFormat="1" ht="15.75" customHeight="1">
      <c r="A75" s="164" t="s">
        <v>22</v>
      </c>
      <c r="B75" s="165" t="s">
        <v>85</v>
      </c>
      <c r="C75" s="161" t="s">
        <v>81</v>
      </c>
      <c r="D75" s="881">
        <v>0</v>
      </c>
      <c r="E75" s="1407"/>
      <c r="F75" s="1408">
        <f t="shared" si="35"/>
        <v>0</v>
      </c>
      <c r="G75" s="757">
        <f t="shared" si="36"/>
        <v>0</v>
      </c>
      <c r="H75" s="757"/>
      <c r="I75" s="757">
        <f t="shared" si="37"/>
        <v>0</v>
      </c>
      <c r="J75" s="675"/>
      <c r="K75" s="629"/>
      <c r="L75" s="758">
        <f>E71+E90-E118+E59</f>
        <v>323203000</v>
      </c>
      <c r="M75" s="566"/>
      <c r="N75" s="566"/>
      <c r="O75" s="566"/>
      <c r="P75" s="566"/>
      <c r="Q75" s="566"/>
      <c r="R75" s="566"/>
      <c r="S75" s="566"/>
      <c r="T75" s="566"/>
      <c r="U75" s="566"/>
      <c r="V75" s="566"/>
      <c r="W75" s="566"/>
    </row>
    <row r="76" spans="1:23" s="155" customFormat="1" ht="15.75" customHeight="1">
      <c r="A76" s="164" t="s">
        <v>24</v>
      </c>
      <c r="B76" s="166" t="s">
        <v>86</v>
      </c>
      <c r="C76" s="161" t="s">
        <v>81</v>
      </c>
      <c r="D76" s="881">
        <v>837612000</v>
      </c>
      <c r="E76" s="1407">
        <v>770521000</v>
      </c>
      <c r="F76" s="1408">
        <f t="shared" si="35"/>
        <v>830553000</v>
      </c>
      <c r="G76" s="757">
        <f t="shared" si="36"/>
        <v>830553000</v>
      </c>
      <c r="H76" s="757"/>
      <c r="I76" s="757">
        <f t="shared" si="37"/>
        <v>830553000</v>
      </c>
      <c r="J76" s="675"/>
      <c r="K76" s="629"/>
      <c r="L76" s="566"/>
      <c r="M76" s="566"/>
      <c r="N76" s="566"/>
      <c r="O76" s="566"/>
      <c r="P76" s="566"/>
      <c r="Q76" s="566"/>
      <c r="R76" s="566"/>
      <c r="S76" s="566"/>
      <c r="T76" s="566"/>
      <c r="U76" s="566"/>
      <c r="V76" s="566"/>
      <c r="W76" s="566"/>
    </row>
    <row r="77" spans="1:23" s="155" customFormat="1" ht="15.75" customHeight="1">
      <c r="A77" s="164" t="s">
        <v>87</v>
      </c>
      <c r="B77" s="167" t="s">
        <v>88</v>
      </c>
      <c r="C77" s="161" t="s">
        <v>81</v>
      </c>
      <c r="D77" s="881">
        <v>610000000</v>
      </c>
      <c r="E77" s="1407">
        <v>530739909.50999999</v>
      </c>
      <c r="F77" s="1408">
        <f t="shared" si="35"/>
        <v>550000000</v>
      </c>
      <c r="G77" s="757">
        <f t="shared" si="36"/>
        <v>550000000</v>
      </c>
      <c r="H77" s="757"/>
      <c r="I77" s="757">
        <f t="shared" si="37"/>
        <v>550000000</v>
      </c>
      <c r="J77" s="675"/>
      <c r="K77" s="629"/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</row>
    <row r="78" spans="1:23" s="155" customFormat="1" ht="15.75" customHeight="1">
      <c r="A78" s="164" t="s">
        <v>89</v>
      </c>
      <c r="B78" s="167" t="s">
        <v>90</v>
      </c>
      <c r="C78" s="161" t="s">
        <v>81</v>
      </c>
      <c r="D78" s="881">
        <v>5380000</v>
      </c>
      <c r="E78" s="1407">
        <v>2113000</v>
      </c>
      <c r="F78" s="1408">
        <f t="shared" si="35"/>
        <v>3345790</v>
      </c>
      <c r="G78" s="757">
        <f t="shared" si="36"/>
        <v>3345790</v>
      </c>
      <c r="H78" s="757"/>
      <c r="I78" s="757">
        <f t="shared" si="37"/>
        <v>3345790</v>
      </c>
      <c r="J78" s="675"/>
      <c r="K78" s="629"/>
      <c r="L78" s="566"/>
      <c r="M78" s="566"/>
      <c r="N78" s="566"/>
      <c r="O78" s="566"/>
      <c r="P78" s="566"/>
      <c r="Q78" s="566"/>
      <c r="R78" s="566"/>
      <c r="S78" s="566"/>
      <c r="T78" s="566"/>
      <c r="U78" s="566"/>
      <c r="V78" s="566"/>
      <c r="W78" s="566"/>
    </row>
    <row r="79" spans="1:23" s="171" customFormat="1" ht="15.75" customHeight="1">
      <c r="A79" s="168" t="s">
        <v>25</v>
      </c>
      <c r="B79" s="169" t="s">
        <v>91</v>
      </c>
      <c r="C79" s="170" t="s">
        <v>81</v>
      </c>
      <c r="D79" s="882">
        <v>-62772000</v>
      </c>
      <c r="E79" s="1409">
        <v>-71810000</v>
      </c>
      <c r="F79" s="1410">
        <f t="shared" si="35"/>
        <v>-58346000</v>
      </c>
      <c r="G79" s="1675">
        <f t="shared" si="36"/>
        <v>-58346000</v>
      </c>
      <c r="H79" s="1675"/>
      <c r="I79" s="1675">
        <f t="shared" si="37"/>
        <v>-58346000</v>
      </c>
      <c r="J79" s="671"/>
      <c r="K79" s="630"/>
      <c r="L79" s="567"/>
      <c r="M79" s="567"/>
      <c r="N79" s="567"/>
      <c r="O79" s="567"/>
      <c r="P79" s="567"/>
      <c r="Q79" s="567"/>
      <c r="R79" s="567"/>
      <c r="S79" s="567"/>
      <c r="T79" s="567"/>
      <c r="U79" s="567"/>
      <c r="V79" s="567"/>
      <c r="W79" s="567"/>
    </row>
    <row r="80" spans="1:23" s="171" customFormat="1" ht="15.75" customHeight="1">
      <c r="A80" s="168" t="s">
        <v>27</v>
      </c>
      <c r="B80" s="169" t="s">
        <v>92</v>
      </c>
      <c r="C80" s="170" t="s">
        <v>81</v>
      </c>
      <c r="D80" s="882">
        <v>-62772000</v>
      </c>
      <c r="E80" s="1409">
        <v>-71810000</v>
      </c>
      <c r="F80" s="1410">
        <f t="shared" si="35"/>
        <v>-58346000</v>
      </c>
      <c r="G80" s="1675">
        <f t="shared" si="36"/>
        <v>-58346000</v>
      </c>
      <c r="H80" s="1675"/>
      <c r="I80" s="1675">
        <f t="shared" si="37"/>
        <v>-58346000</v>
      </c>
      <c r="J80" s="671"/>
      <c r="K80" s="630"/>
      <c r="L80" s="567"/>
      <c r="M80" s="567"/>
      <c r="N80" s="567"/>
      <c r="O80" s="567"/>
      <c r="P80" s="567"/>
      <c r="Q80" s="567"/>
      <c r="R80" s="567"/>
      <c r="S80" s="567"/>
      <c r="T80" s="567"/>
      <c r="U80" s="567"/>
      <c r="V80" s="567"/>
      <c r="W80" s="567"/>
    </row>
    <row r="81" spans="1:23" s="155" customFormat="1" ht="15.75" customHeight="1">
      <c r="A81" s="164" t="s">
        <v>93</v>
      </c>
      <c r="B81" s="172" t="s">
        <v>608</v>
      </c>
      <c r="C81" s="161" t="s">
        <v>81</v>
      </c>
      <c r="D81" s="881">
        <v>0</v>
      </c>
      <c r="E81" s="1407">
        <v>0</v>
      </c>
      <c r="F81" s="1408">
        <f t="shared" si="35"/>
        <v>0</v>
      </c>
      <c r="G81" s="757">
        <f t="shared" si="36"/>
        <v>0</v>
      </c>
      <c r="H81" s="757"/>
      <c r="I81" s="757">
        <f t="shared" si="37"/>
        <v>0</v>
      </c>
      <c r="J81" s="675"/>
      <c r="K81" s="629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</row>
    <row r="82" spans="1:23" s="155" customFormat="1" ht="15.75" customHeight="1">
      <c r="A82" s="164" t="s">
        <v>94</v>
      </c>
      <c r="B82" s="172" t="s">
        <v>609</v>
      </c>
      <c r="C82" s="161" t="s">
        <v>81</v>
      </c>
      <c r="D82" s="881">
        <v>-62772000</v>
      </c>
      <c r="E82" s="1409">
        <v>-71810000</v>
      </c>
      <c r="F82" s="1408">
        <f t="shared" si="35"/>
        <v>-58346000</v>
      </c>
      <c r="G82" s="757">
        <f t="shared" si="36"/>
        <v>-58346000</v>
      </c>
      <c r="H82" s="757"/>
      <c r="I82" s="757">
        <f t="shared" si="37"/>
        <v>-58346000</v>
      </c>
      <c r="J82" s="675"/>
      <c r="K82" s="629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</row>
    <row r="83" spans="1:23" s="163" customFormat="1" ht="15.75" customHeight="1">
      <c r="A83" s="164" t="s">
        <v>29</v>
      </c>
      <c r="B83" s="165" t="s">
        <v>96</v>
      </c>
      <c r="C83" s="161" t="s">
        <v>81</v>
      </c>
      <c r="D83" s="881">
        <v>9653000</v>
      </c>
      <c r="E83" s="1407">
        <v>17179000</v>
      </c>
      <c r="F83" s="1408">
        <f t="shared" si="35"/>
        <v>25809000</v>
      </c>
      <c r="G83" s="757">
        <f t="shared" si="36"/>
        <v>25809000</v>
      </c>
      <c r="H83" s="757"/>
      <c r="I83" s="757">
        <f t="shared" si="37"/>
        <v>25809000</v>
      </c>
      <c r="J83" s="675"/>
      <c r="K83" s="629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5"/>
    </row>
    <row r="84" spans="1:23" s="163" customFormat="1" ht="15.75" customHeight="1">
      <c r="A84" s="164" t="s">
        <v>31</v>
      </c>
      <c r="B84" s="165" t="s">
        <v>97</v>
      </c>
      <c r="C84" s="161" t="s">
        <v>81</v>
      </c>
      <c r="D84" s="881">
        <v>9438000</v>
      </c>
      <c r="E84" s="1407">
        <v>34120000</v>
      </c>
      <c r="F84" s="1408">
        <f t="shared" si="35"/>
        <v>45361000</v>
      </c>
      <c r="G84" s="757">
        <f t="shared" si="36"/>
        <v>45361000</v>
      </c>
      <c r="H84" s="757"/>
      <c r="I84" s="757">
        <f t="shared" si="37"/>
        <v>45361000</v>
      </c>
      <c r="J84" s="675"/>
      <c r="K84" s="629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</row>
    <row r="85" spans="1:23" s="155" customFormat="1" ht="15.75" customHeight="1">
      <c r="A85" s="164" t="s">
        <v>35</v>
      </c>
      <c r="B85" s="166" t="s">
        <v>98</v>
      </c>
      <c r="C85" s="161" t="s">
        <v>81</v>
      </c>
      <c r="D85" s="881">
        <v>-1500000</v>
      </c>
      <c r="E85" s="1407">
        <v>-1936000</v>
      </c>
      <c r="F85" s="1408">
        <f t="shared" si="35"/>
        <v>-1450000</v>
      </c>
      <c r="G85" s="757">
        <f t="shared" si="36"/>
        <v>-1450000</v>
      </c>
      <c r="H85" s="757"/>
      <c r="I85" s="757">
        <f t="shared" si="37"/>
        <v>-1450000</v>
      </c>
      <c r="J85" s="675"/>
      <c r="K85" s="629"/>
      <c r="L85" s="566"/>
      <c r="M85" s="566"/>
      <c r="N85" s="566"/>
      <c r="O85" s="566"/>
      <c r="P85" s="566"/>
      <c r="Q85" s="566"/>
      <c r="R85" s="566"/>
      <c r="S85" s="566"/>
      <c r="T85" s="566"/>
      <c r="U85" s="566"/>
      <c r="V85" s="566"/>
      <c r="W85" s="566"/>
    </row>
    <row r="86" spans="1:23" s="155" customFormat="1" ht="15.75" customHeight="1">
      <c r="A86" s="164" t="s">
        <v>38</v>
      </c>
      <c r="B86" s="166" t="s">
        <v>99</v>
      </c>
      <c r="C86" s="161" t="s">
        <v>81</v>
      </c>
      <c r="D86" s="881">
        <v>0</v>
      </c>
      <c r="E86" s="1407"/>
      <c r="F86" s="1408">
        <f t="shared" si="35"/>
        <v>0</v>
      </c>
      <c r="G86" s="757">
        <f t="shared" si="36"/>
        <v>0</v>
      </c>
      <c r="H86" s="757"/>
      <c r="I86" s="757">
        <f t="shared" si="37"/>
        <v>0</v>
      </c>
      <c r="J86" s="675"/>
      <c r="K86" s="629"/>
      <c r="L86" s="566"/>
      <c r="M86" s="566"/>
      <c r="N86" s="566"/>
      <c r="O86" s="566"/>
      <c r="P86" s="566"/>
      <c r="Q86" s="566"/>
      <c r="R86" s="566"/>
      <c r="S86" s="566"/>
      <c r="T86" s="566"/>
      <c r="U86" s="566"/>
      <c r="V86" s="566"/>
      <c r="W86" s="566"/>
    </row>
    <row r="87" spans="1:23" s="155" customFormat="1" ht="15.75" customHeight="1">
      <c r="A87" s="164" t="s">
        <v>42</v>
      </c>
      <c r="B87" s="166" t="s">
        <v>100</v>
      </c>
      <c r="C87" s="161" t="s">
        <v>81</v>
      </c>
      <c r="D87" s="881">
        <v>-796375000</v>
      </c>
      <c r="E87" s="1407">
        <v>-734878000</v>
      </c>
      <c r="F87" s="1408">
        <f t="shared" si="35"/>
        <v>-884395000</v>
      </c>
      <c r="G87" s="757">
        <f t="shared" si="36"/>
        <v>-884395000</v>
      </c>
      <c r="H87" s="757"/>
      <c r="I87" s="757">
        <f t="shared" si="37"/>
        <v>-884395000</v>
      </c>
      <c r="J87" s="675"/>
      <c r="K87" s="629"/>
      <c r="L87" s="566"/>
      <c r="M87" s="566"/>
      <c r="N87" s="566"/>
      <c r="O87" s="566"/>
      <c r="P87" s="566"/>
      <c r="Q87" s="566"/>
      <c r="R87" s="566"/>
      <c r="S87" s="566"/>
      <c r="T87" s="566"/>
      <c r="U87" s="566"/>
      <c r="V87" s="566"/>
      <c r="W87" s="566"/>
    </row>
    <row r="88" spans="1:23" s="155" customFormat="1" ht="15.75" customHeight="1">
      <c r="A88" s="164" t="s">
        <v>44</v>
      </c>
      <c r="B88" s="166" t="s">
        <v>101</v>
      </c>
      <c r="C88" s="161" t="s">
        <v>81</v>
      </c>
      <c r="D88" s="881">
        <v>-3250000</v>
      </c>
      <c r="E88" s="1407">
        <v>-2212000</v>
      </c>
      <c r="F88" s="1408">
        <f t="shared" si="35"/>
        <v>-3300000</v>
      </c>
      <c r="G88" s="757">
        <f t="shared" si="36"/>
        <v>-3300000</v>
      </c>
      <c r="H88" s="757"/>
      <c r="I88" s="757">
        <f t="shared" si="37"/>
        <v>-3300000</v>
      </c>
      <c r="J88" s="675"/>
      <c r="K88" s="629"/>
      <c r="L88" s="566"/>
      <c r="M88" s="566"/>
      <c r="N88" s="566"/>
      <c r="O88" s="566"/>
      <c r="P88" s="566"/>
      <c r="Q88" s="566"/>
      <c r="R88" s="566"/>
      <c r="S88" s="566"/>
      <c r="T88" s="566"/>
      <c r="U88" s="566"/>
      <c r="V88" s="566"/>
      <c r="W88" s="566"/>
    </row>
    <row r="89" spans="1:23" s="152" customFormat="1" ht="9.9" customHeight="1">
      <c r="A89" s="622"/>
      <c r="B89" s="623"/>
      <c r="C89" s="624"/>
      <c r="D89" s="883"/>
      <c r="E89" s="1411"/>
      <c r="F89" s="1412"/>
      <c r="G89" s="1676"/>
      <c r="H89" s="1676"/>
      <c r="I89" s="1676"/>
      <c r="J89" s="675"/>
      <c r="K89" s="562"/>
      <c r="L89" s="562"/>
      <c r="M89" s="562"/>
      <c r="N89" s="562"/>
      <c r="O89" s="562"/>
      <c r="P89" s="562"/>
      <c r="Q89" s="562"/>
      <c r="R89" s="562"/>
      <c r="S89" s="562"/>
      <c r="T89" s="562"/>
      <c r="U89" s="562"/>
      <c r="V89" s="562"/>
      <c r="W89" s="562"/>
    </row>
    <row r="90" spans="1:23" s="159" customFormat="1">
      <c r="A90" s="173" t="s">
        <v>102</v>
      </c>
      <c r="B90" s="174" t="s">
        <v>103</v>
      </c>
      <c r="C90" s="175" t="s">
        <v>81</v>
      </c>
      <c r="D90" s="884">
        <f t="shared" ref="D90:I90" si="38">SUM(D92,D97,D99,D101,D103)</f>
        <v>4584719000</v>
      </c>
      <c r="E90" s="1413">
        <f t="shared" si="38"/>
        <v>4640941000</v>
      </c>
      <c r="F90" s="1414">
        <f t="shared" si="38"/>
        <v>4619643508</v>
      </c>
      <c r="G90" s="1677">
        <f>SUM(G92,G97,G99,G101,G103)</f>
        <v>4618558000</v>
      </c>
      <c r="H90" s="1677">
        <f t="shared" si="38"/>
        <v>0</v>
      </c>
      <c r="I90" s="1677">
        <f t="shared" si="38"/>
        <v>4618558000</v>
      </c>
      <c r="J90" s="698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</row>
    <row r="91" spans="1:23" s="176" customFormat="1" ht="9.9" customHeight="1">
      <c r="A91" s="625"/>
      <c r="B91" s="626"/>
      <c r="C91" s="627"/>
      <c r="D91" s="885"/>
      <c r="E91" s="1415"/>
      <c r="F91" s="1416"/>
      <c r="G91" s="1678"/>
      <c r="H91" s="1678"/>
      <c r="I91" s="1678"/>
      <c r="J91" s="675"/>
      <c r="K91" s="568"/>
      <c r="L91" s="568"/>
      <c r="M91" s="568"/>
      <c r="N91" s="568"/>
      <c r="O91" s="568"/>
      <c r="P91" s="568"/>
      <c r="Q91" s="568"/>
      <c r="R91" s="568"/>
      <c r="S91" s="568"/>
      <c r="T91" s="568"/>
      <c r="U91" s="568"/>
      <c r="V91" s="568"/>
      <c r="W91" s="568"/>
    </row>
    <row r="92" spans="1:23" s="179" customFormat="1">
      <c r="A92" s="168" t="s">
        <v>14</v>
      </c>
      <c r="B92" s="177" t="s">
        <v>104</v>
      </c>
      <c r="C92" s="178" t="s">
        <v>105</v>
      </c>
      <c r="D92" s="886">
        <f t="shared" ref="D92:I92" si="39">SUM(D93:D95)</f>
        <v>745360000</v>
      </c>
      <c r="E92" s="1417">
        <f t="shared" si="39"/>
        <v>743360000</v>
      </c>
      <c r="F92" s="1418">
        <f t="shared" si="39"/>
        <v>745360000</v>
      </c>
      <c r="G92" s="1679">
        <f>SUM(G93:G95)</f>
        <v>745360000</v>
      </c>
      <c r="H92" s="1679">
        <f t="shared" si="39"/>
        <v>0</v>
      </c>
      <c r="I92" s="1679">
        <f t="shared" si="39"/>
        <v>745360000</v>
      </c>
      <c r="J92" s="671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</row>
    <row r="93" spans="1:23" s="183" customFormat="1">
      <c r="A93" s="628"/>
      <c r="B93" s="181" t="s">
        <v>106</v>
      </c>
      <c r="C93" s="2058" t="s">
        <v>107</v>
      </c>
      <c r="D93" s="887"/>
      <c r="E93" s="1419"/>
      <c r="F93" s="1420"/>
      <c r="G93" s="1680"/>
      <c r="H93" s="1681"/>
      <c r="I93" s="1681"/>
      <c r="J93" s="675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</row>
    <row r="94" spans="1:23" s="186" customFormat="1" ht="43.2">
      <c r="A94" s="184" t="s">
        <v>16</v>
      </c>
      <c r="B94" s="185" t="s">
        <v>610</v>
      </c>
      <c r="C94" s="182" t="s">
        <v>108</v>
      </c>
      <c r="D94" s="888">
        <v>30000000</v>
      </c>
      <c r="E94" s="1421">
        <v>28000000</v>
      </c>
      <c r="F94" s="1422">
        <v>28500000</v>
      </c>
      <c r="G94" s="1682">
        <v>28500000</v>
      </c>
      <c r="H94" s="1682"/>
      <c r="I94" s="1682">
        <f>G94+H94</f>
        <v>28500000</v>
      </c>
      <c r="J94" s="675"/>
      <c r="K94" s="186" t="s">
        <v>109</v>
      </c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</row>
    <row r="95" spans="1:23" s="186" customFormat="1">
      <c r="A95" s="187" t="s">
        <v>17</v>
      </c>
      <c r="B95" s="181" t="s">
        <v>110</v>
      </c>
      <c r="C95" s="182" t="s">
        <v>108</v>
      </c>
      <c r="D95" s="889">
        <v>715360000</v>
      </c>
      <c r="E95" s="1423">
        <v>715360000</v>
      </c>
      <c r="F95" s="1424">
        <v>716860000</v>
      </c>
      <c r="G95" s="1683">
        <v>716860000</v>
      </c>
      <c r="H95" s="1683"/>
      <c r="I95" s="1682">
        <f>G95+H95</f>
        <v>716860000</v>
      </c>
      <c r="J95" s="675"/>
      <c r="K95" s="655"/>
      <c r="L95" s="188">
        <f>E95/E28%</f>
        <v>24.003790354728348</v>
      </c>
      <c r="M95" s="188" t="e">
        <f>H95/H28%</f>
        <v>#DIV/0!</v>
      </c>
      <c r="N95" s="188">
        <f>I95/I28%</f>
        <v>24.015410385259631</v>
      </c>
      <c r="O95" s="188" t="e">
        <f>#REF!/#REF!%</f>
        <v>#REF!</v>
      </c>
      <c r="P95" s="571"/>
      <c r="Q95" s="571"/>
      <c r="R95" s="571"/>
      <c r="S95" s="571"/>
      <c r="T95" s="571"/>
      <c r="U95" s="571"/>
      <c r="V95" s="571"/>
      <c r="W95" s="571"/>
    </row>
    <row r="96" spans="1:23" s="186" customFormat="1">
      <c r="A96" s="631"/>
      <c r="B96" s="632"/>
      <c r="C96" s="633"/>
      <c r="D96" s="890"/>
      <c r="E96" s="1425"/>
      <c r="F96" s="1426"/>
      <c r="G96" s="1684"/>
      <c r="H96" s="1684"/>
      <c r="I96" s="1682"/>
      <c r="J96" s="675"/>
      <c r="K96" s="634"/>
      <c r="L96" s="634"/>
      <c r="M96" s="634"/>
      <c r="N96" s="634"/>
      <c r="O96" s="634"/>
      <c r="P96" s="571"/>
      <c r="Q96" s="571"/>
      <c r="R96" s="571"/>
      <c r="S96" s="571"/>
      <c r="T96" s="571"/>
      <c r="U96" s="571"/>
      <c r="V96" s="571"/>
      <c r="W96" s="571"/>
    </row>
    <row r="97" spans="1:23" s="186" customFormat="1" ht="16.2">
      <c r="A97" s="189" t="s">
        <v>18</v>
      </c>
      <c r="B97" s="190" t="s">
        <v>111</v>
      </c>
      <c r="C97" s="191" t="s">
        <v>107</v>
      </c>
      <c r="D97" s="891">
        <v>46900000</v>
      </c>
      <c r="E97" s="1427">
        <v>46900000</v>
      </c>
      <c r="F97" s="1428">
        <v>14167000</v>
      </c>
      <c r="G97" s="1685"/>
      <c r="H97" s="1685"/>
      <c r="I97" s="1682"/>
      <c r="J97" s="675"/>
      <c r="K97" s="571"/>
      <c r="L97" s="571"/>
      <c r="M97" s="571"/>
      <c r="N97" s="571"/>
      <c r="O97" s="571"/>
      <c r="P97" s="571"/>
      <c r="Q97" s="571"/>
      <c r="R97" s="571"/>
      <c r="S97" s="571"/>
      <c r="T97" s="571"/>
      <c r="U97" s="571"/>
      <c r="V97" s="571"/>
      <c r="W97" s="571"/>
    </row>
    <row r="98" spans="1:23" s="186" customFormat="1" ht="9.9" customHeight="1">
      <c r="A98" s="650"/>
      <c r="B98" s="651"/>
      <c r="C98" s="652"/>
      <c r="D98" s="892"/>
      <c r="E98" s="1429"/>
      <c r="F98" s="1430"/>
      <c r="G98" s="1686"/>
      <c r="H98" s="1686"/>
      <c r="I98" s="1682"/>
      <c r="J98" s="675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</row>
    <row r="99" spans="1:23" s="183" customFormat="1" ht="16.2">
      <c r="A99" s="180" t="s">
        <v>22</v>
      </c>
      <c r="B99" s="190" t="s">
        <v>112</v>
      </c>
      <c r="C99" s="192" t="s">
        <v>113</v>
      </c>
      <c r="D99" s="893">
        <v>3622369000</v>
      </c>
      <c r="E99" s="1427">
        <v>3620789000</v>
      </c>
      <c r="F99" s="1428">
        <v>3648380374</v>
      </c>
      <c r="G99" s="1687">
        <v>3648380000</v>
      </c>
      <c r="H99" s="1687"/>
      <c r="I99" s="1682">
        <f>G99+H99</f>
        <v>3648380000</v>
      </c>
      <c r="J99" s="675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</row>
    <row r="100" spans="1:23" s="186" customFormat="1" ht="9" customHeight="1">
      <c r="A100" s="631"/>
      <c r="B100" s="653"/>
      <c r="C100" s="654"/>
      <c r="D100" s="894"/>
      <c r="E100" s="1427"/>
      <c r="F100" s="1432"/>
      <c r="G100" s="1688"/>
      <c r="H100" s="1688"/>
      <c r="I100" s="1682"/>
      <c r="J100" s="675"/>
      <c r="K100" s="571"/>
      <c r="L100" s="571"/>
      <c r="M100" s="571"/>
      <c r="N100" s="571"/>
      <c r="O100" s="571"/>
      <c r="P100" s="571"/>
      <c r="Q100" s="571"/>
      <c r="R100" s="571"/>
      <c r="S100" s="571"/>
      <c r="T100" s="571"/>
      <c r="U100" s="571"/>
      <c r="V100" s="571"/>
      <c r="W100" s="571"/>
    </row>
    <row r="101" spans="1:23" s="183" customFormat="1" ht="31.2">
      <c r="A101" s="180" t="s">
        <v>24</v>
      </c>
      <c r="B101" s="193" t="s">
        <v>114</v>
      </c>
      <c r="C101" s="192" t="s">
        <v>115</v>
      </c>
      <c r="D101" s="893">
        <v>1331000</v>
      </c>
      <c r="E101" s="1427">
        <v>2104000</v>
      </c>
      <c r="F101" s="1428">
        <v>2155000</v>
      </c>
      <c r="G101" s="1687">
        <v>2155000</v>
      </c>
      <c r="H101" s="1687"/>
      <c r="I101" s="1682">
        <f>G101+H101</f>
        <v>2155000</v>
      </c>
      <c r="J101" s="675"/>
      <c r="K101" s="183" t="s">
        <v>116</v>
      </c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</row>
    <row r="102" spans="1:23" ht="9.9" customHeight="1">
      <c r="A102" s="631"/>
      <c r="B102" s="653"/>
      <c r="C102" s="654"/>
      <c r="D102" s="895"/>
      <c r="E102" s="1431"/>
      <c r="F102" s="1432"/>
      <c r="G102" s="1688"/>
      <c r="H102" s="1688"/>
      <c r="I102" s="1688"/>
      <c r="J102" s="675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</row>
    <row r="103" spans="1:23" s="179" customFormat="1">
      <c r="A103" s="168" t="s">
        <v>25</v>
      </c>
      <c r="B103" s="177" t="s">
        <v>117</v>
      </c>
      <c r="C103" s="178" t="s">
        <v>81</v>
      </c>
      <c r="D103" s="886">
        <f>SUM(D104:D116)</f>
        <v>168759000</v>
      </c>
      <c r="E103" s="1417">
        <f>SUM(E104:E116)</f>
        <v>227788000</v>
      </c>
      <c r="F103" s="1418">
        <f>SUM(F104:F116)</f>
        <v>209581134</v>
      </c>
      <c r="G103" s="1679">
        <f>SUM(G104:G112)+G116</f>
        <v>222663000</v>
      </c>
      <c r="H103" s="1679">
        <f>SUM(H104:H112)+H116</f>
        <v>0</v>
      </c>
      <c r="I103" s="1679">
        <f>SUM(I104:I112)+I116</f>
        <v>222663000</v>
      </c>
      <c r="J103" s="671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569"/>
    </row>
    <row r="104" spans="1:23" s="195" customFormat="1">
      <c r="A104" s="164" t="s">
        <v>27</v>
      </c>
      <c r="B104" s="194" t="s">
        <v>118</v>
      </c>
      <c r="C104" s="161" t="s">
        <v>119</v>
      </c>
      <c r="D104" s="896">
        <v>35000</v>
      </c>
      <c r="E104" s="1423">
        <v>30000</v>
      </c>
      <c r="F104" s="1424">
        <v>35000</v>
      </c>
      <c r="G104" s="1683">
        <v>35000</v>
      </c>
      <c r="H104" s="1683"/>
      <c r="I104" s="1683">
        <f>G104+H104</f>
        <v>35000</v>
      </c>
      <c r="J104" s="675"/>
      <c r="K104" s="572"/>
      <c r="L104" s="572"/>
      <c r="M104" s="572"/>
      <c r="N104" s="572"/>
      <c r="O104" s="572"/>
      <c r="P104" s="572"/>
      <c r="Q104" s="572"/>
      <c r="R104" s="572"/>
      <c r="S104" s="572"/>
      <c r="T104" s="572"/>
      <c r="U104" s="572"/>
      <c r="V104" s="572"/>
      <c r="W104" s="572"/>
    </row>
    <row r="105" spans="1:23" s="195" customFormat="1">
      <c r="A105" s="164" t="s">
        <v>28</v>
      </c>
      <c r="B105" s="194" t="s">
        <v>1113</v>
      </c>
      <c r="C105" s="161" t="s">
        <v>1111</v>
      </c>
      <c r="D105" s="896"/>
      <c r="E105" s="1423"/>
      <c r="F105" s="1424"/>
      <c r="G105" s="1683"/>
      <c r="H105" s="1683"/>
      <c r="I105" s="1683">
        <f>G105+H105</f>
        <v>0</v>
      </c>
      <c r="J105" s="675"/>
      <c r="K105" s="572"/>
      <c r="L105" s="572"/>
      <c r="M105" s="572"/>
      <c r="N105" s="572"/>
      <c r="O105" s="572"/>
      <c r="P105" s="572"/>
      <c r="Q105" s="572"/>
      <c r="R105" s="572"/>
      <c r="S105" s="572"/>
      <c r="T105" s="572"/>
      <c r="U105" s="572"/>
      <c r="V105" s="572"/>
      <c r="W105" s="572"/>
    </row>
    <row r="106" spans="1:23" s="195" customFormat="1">
      <c r="A106" s="164" t="s">
        <v>122</v>
      </c>
      <c r="B106" s="194" t="s">
        <v>1114</v>
      </c>
      <c r="C106" s="161" t="s">
        <v>1112</v>
      </c>
      <c r="D106" s="896"/>
      <c r="E106" s="1423"/>
      <c r="F106" s="1424"/>
      <c r="G106" s="1683"/>
      <c r="H106" s="1683"/>
      <c r="I106" s="1683">
        <f>G106+H106</f>
        <v>0</v>
      </c>
      <c r="J106" s="675"/>
      <c r="K106" s="572"/>
      <c r="L106" s="572"/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572"/>
    </row>
    <row r="107" spans="1:23" s="195" customFormat="1">
      <c r="A107" s="164" t="s">
        <v>125</v>
      </c>
      <c r="B107" s="194" t="s">
        <v>120</v>
      </c>
      <c r="C107" s="161" t="s">
        <v>121</v>
      </c>
      <c r="D107" s="896">
        <v>80000</v>
      </c>
      <c r="E107" s="1423">
        <v>125000</v>
      </c>
      <c r="F107" s="1424">
        <v>65000</v>
      </c>
      <c r="G107" s="1683">
        <v>65000</v>
      </c>
      <c r="H107" s="1683"/>
      <c r="I107" s="1683">
        <f t="shared" ref="I107:I115" si="40">G107+H107</f>
        <v>65000</v>
      </c>
      <c r="J107" s="699"/>
      <c r="K107" s="635"/>
      <c r="L107" s="635"/>
      <c r="M107" s="635"/>
      <c r="N107" s="635"/>
      <c r="O107" s="635"/>
      <c r="P107" s="572"/>
      <c r="Q107" s="572"/>
      <c r="R107" s="572"/>
      <c r="S107" s="572"/>
      <c r="T107" s="572"/>
      <c r="U107" s="572"/>
      <c r="V107" s="572"/>
      <c r="W107" s="572"/>
    </row>
    <row r="108" spans="1:23" s="195" customFormat="1">
      <c r="A108" s="164" t="s">
        <v>128</v>
      </c>
      <c r="B108" s="194" t="s">
        <v>123</v>
      </c>
      <c r="C108" s="161" t="s">
        <v>124</v>
      </c>
      <c r="D108" s="897">
        <v>35000000</v>
      </c>
      <c r="E108" s="1433">
        <v>20000000</v>
      </c>
      <c r="F108" s="1434">
        <v>20000000</v>
      </c>
      <c r="G108" s="1689">
        <v>20000000</v>
      </c>
      <c r="H108" s="1689"/>
      <c r="I108" s="1683">
        <f t="shared" si="40"/>
        <v>20000000</v>
      </c>
      <c r="J108" s="675"/>
      <c r="K108" s="572"/>
      <c r="L108" s="572"/>
      <c r="M108" s="572"/>
      <c r="N108" s="572"/>
      <c r="O108" s="572"/>
      <c r="P108" s="572"/>
      <c r="Q108" s="572"/>
      <c r="R108" s="572"/>
      <c r="S108" s="572"/>
      <c r="T108" s="572"/>
      <c r="U108" s="572"/>
      <c r="V108" s="572"/>
      <c r="W108" s="572"/>
    </row>
    <row r="109" spans="1:23" s="195" customFormat="1">
      <c r="A109" s="164" t="s">
        <v>131</v>
      </c>
      <c r="B109" s="194" t="s">
        <v>126</v>
      </c>
      <c r="C109" s="161" t="s">
        <v>127</v>
      </c>
      <c r="D109" s="896">
        <v>16785000</v>
      </c>
      <c r="E109" s="1423">
        <v>62781000</v>
      </c>
      <c r="F109" s="1424">
        <v>49198250</v>
      </c>
      <c r="G109" s="1690">
        <v>52280000</v>
      </c>
      <c r="H109" s="1690"/>
      <c r="I109" s="1683">
        <f t="shared" si="40"/>
        <v>52280000</v>
      </c>
      <c r="J109" s="675"/>
      <c r="K109" s="636"/>
      <c r="L109" s="636"/>
      <c r="M109" s="636"/>
      <c r="N109" s="636"/>
      <c r="O109" s="636"/>
      <c r="P109" s="572"/>
      <c r="Q109" s="572"/>
      <c r="R109" s="572"/>
      <c r="S109" s="572"/>
      <c r="T109" s="572"/>
      <c r="U109" s="572"/>
      <c r="V109" s="572"/>
      <c r="W109" s="572"/>
    </row>
    <row r="110" spans="1:23" s="195" customFormat="1">
      <c r="A110" s="164" t="s">
        <v>134</v>
      </c>
      <c r="B110" s="194" t="s">
        <v>129</v>
      </c>
      <c r="C110" s="161" t="s">
        <v>130</v>
      </c>
      <c r="D110" s="896">
        <v>0</v>
      </c>
      <c r="E110" s="1423"/>
      <c r="F110" s="1424"/>
      <c r="G110" s="1683"/>
      <c r="H110" s="1683"/>
      <c r="I110" s="1683">
        <f t="shared" si="40"/>
        <v>0</v>
      </c>
      <c r="J110" s="675"/>
      <c r="K110" s="572"/>
      <c r="L110" s="572"/>
      <c r="M110" s="572"/>
      <c r="N110" s="572"/>
      <c r="O110" s="572"/>
      <c r="P110" s="572"/>
      <c r="Q110" s="572"/>
      <c r="R110" s="572"/>
      <c r="S110" s="572"/>
      <c r="T110" s="572"/>
      <c r="U110" s="572"/>
      <c r="V110" s="572"/>
      <c r="W110" s="572"/>
    </row>
    <row r="111" spans="1:23" s="195" customFormat="1">
      <c r="A111" s="164" t="s">
        <v>137</v>
      </c>
      <c r="B111" s="194" t="s">
        <v>132</v>
      </c>
      <c r="C111" s="161" t="s">
        <v>133</v>
      </c>
      <c r="D111" s="897">
        <v>110830000</v>
      </c>
      <c r="E111" s="1433">
        <v>139409000</v>
      </c>
      <c r="F111" s="1434">
        <v>133123600</v>
      </c>
      <c r="G111" s="1689">
        <v>143124000</v>
      </c>
      <c r="H111" s="1689"/>
      <c r="I111" s="1683">
        <f t="shared" si="40"/>
        <v>143124000</v>
      </c>
      <c r="J111" s="675"/>
      <c r="K111" s="572"/>
      <c r="L111" s="572"/>
      <c r="M111" s="572"/>
      <c r="N111" s="572"/>
      <c r="O111" s="572"/>
      <c r="P111" s="572"/>
      <c r="Q111" s="572"/>
      <c r="R111" s="572"/>
      <c r="S111" s="572"/>
      <c r="T111" s="572"/>
      <c r="U111" s="572"/>
      <c r="V111" s="572"/>
      <c r="W111" s="572"/>
    </row>
    <row r="112" spans="1:23" s="195" customFormat="1">
      <c r="A112" s="164" t="s">
        <v>1115</v>
      </c>
      <c r="B112" s="194" t="s">
        <v>135</v>
      </c>
      <c r="C112" s="161" t="s">
        <v>365</v>
      </c>
      <c r="D112" s="897">
        <v>6029000</v>
      </c>
      <c r="E112" s="1433">
        <v>5443000</v>
      </c>
      <c r="F112" s="1434">
        <v>7159284</v>
      </c>
      <c r="G112" s="1689">
        <f>SUM(G113:G115)</f>
        <v>7159000</v>
      </c>
      <c r="H112" s="1689"/>
      <c r="I112" s="1683">
        <f t="shared" si="40"/>
        <v>7159000</v>
      </c>
      <c r="J112" s="675"/>
      <c r="K112" s="572"/>
      <c r="L112" s="637"/>
      <c r="M112" s="637"/>
      <c r="N112" s="637"/>
      <c r="O112" s="637"/>
      <c r="P112" s="572"/>
      <c r="Q112" s="572"/>
      <c r="R112" s="572"/>
      <c r="S112" s="572"/>
      <c r="T112" s="572"/>
      <c r="U112" s="572"/>
      <c r="V112" s="572"/>
      <c r="W112" s="572"/>
    </row>
    <row r="113" spans="1:23" s="195" customFormat="1">
      <c r="A113" s="164"/>
      <c r="B113" s="1646" t="s">
        <v>135</v>
      </c>
      <c r="C113" s="1647" t="s">
        <v>136</v>
      </c>
      <c r="D113" s="1648"/>
      <c r="E113" s="1649"/>
      <c r="F113" s="1650"/>
      <c r="G113" s="1691">
        <v>2534000</v>
      </c>
      <c r="H113" s="1691"/>
      <c r="I113" s="1683">
        <f t="shared" si="40"/>
        <v>2534000</v>
      </c>
      <c r="J113" s="675"/>
      <c r="K113" s="572"/>
      <c r="L113" s="637"/>
      <c r="M113" s="637"/>
      <c r="N113" s="637"/>
      <c r="O113" s="637"/>
      <c r="P113" s="572"/>
      <c r="Q113" s="572"/>
      <c r="R113" s="572"/>
      <c r="S113" s="572"/>
      <c r="T113" s="572"/>
      <c r="U113" s="572"/>
      <c r="V113" s="572"/>
      <c r="W113" s="572"/>
    </row>
    <row r="114" spans="1:23" s="195" customFormat="1">
      <c r="A114" s="164"/>
      <c r="B114" s="1646" t="s">
        <v>135</v>
      </c>
      <c r="C114" s="1647" t="s">
        <v>299</v>
      </c>
      <c r="D114" s="1648"/>
      <c r="E114" s="1649"/>
      <c r="F114" s="1650"/>
      <c r="G114" s="1691">
        <v>3337468</v>
      </c>
      <c r="H114" s="1691"/>
      <c r="I114" s="1683">
        <f t="shared" si="40"/>
        <v>3337468</v>
      </c>
      <c r="J114" s="675"/>
      <c r="K114" s="572"/>
      <c r="L114" s="637"/>
      <c r="M114" s="637"/>
      <c r="N114" s="637"/>
      <c r="O114" s="637"/>
      <c r="P114" s="572"/>
      <c r="Q114" s="572"/>
      <c r="R114" s="572"/>
      <c r="S114" s="572"/>
      <c r="T114" s="572"/>
      <c r="U114" s="572"/>
      <c r="V114" s="572"/>
      <c r="W114" s="572"/>
    </row>
    <row r="115" spans="1:23" s="195" customFormat="1">
      <c r="A115" s="164"/>
      <c r="B115" s="1646" t="s">
        <v>135</v>
      </c>
      <c r="C115" s="1647" t="s">
        <v>1077</v>
      </c>
      <c r="D115" s="1648"/>
      <c r="E115" s="1649"/>
      <c r="F115" s="1650"/>
      <c r="G115" s="1691">
        <v>1287532</v>
      </c>
      <c r="H115" s="1691"/>
      <c r="I115" s="1683">
        <f t="shared" si="40"/>
        <v>1287532</v>
      </c>
      <c r="J115" s="675"/>
      <c r="K115" s="572"/>
      <c r="L115" s="637"/>
      <c r="M115" s="637"/>
      <c r="N115" s="637"/>
      <c r="O115" s="637"/>
      <c r="P115" s="572"/>
      <c r="Q115" s="572"/>
      <c r="R115" s="572"/>
      <c r="S115" s="572"/>
      <c r="T115" s="572"/>
      <c r="U115" s="572"/>
      <c r="V115" s="572"/>
      <c r="W115" s="572"/>
    </row>
    <row r="116" spans="1:23" s="195" customFormat="1">
      <c r="A116" s="164" t="s">
        <v>1116</v>
      </c>
      <c r="B116" s="194" t="s">
        <v>138</v>
      </c>
      <c r="C116" s="161" t="s">
        <v>139</v>
      </c>
      <c r="D116" s="898">
        <v>0</v>
      </c>
      <c r="E116" s="1435"/>
      <c r="F116" s="1436"/>
      <c r="G116" s="1682"/>
      <c r="H116" s="1682"/>
      <c r="I116" s="1682"/>
      <c r="J116" s="675"/>
      <c r="K116" s="572"/>
      <c r="L116" s="572"/>
      <c r="M116" s="572"/>
      <c r="N116" s="572"/>
      <c r="O116" s="572"/>
      <c r="P116" s="572"/>
      <c r="Q116" s="572"/>
      <c r="R116" s="572"/>
      <c r="S116" s="572"/>
      <c r="T116" s="572"/>
      <c r="U116" s="572"/>
      <c r="V116" s="572"/>
      <c r="W116" s="572"/>
    </row>
    <row r="117" spans="1:23" s="196" customFormat="1" ht="9.9" customHeight="1">
      <c r="A117" s="656"/>
      <c r="B117" s="657"/>
      <c r="C117" s="624"/>
      <c r="D117" s="883"/>
      <c r="E117" s="1411"/>
      <c r="F117" s="1412"/>
      <c r="G117" s="1676"/>
      <c r="H117" s="1676"/>
      <c r="I117" s="1676"/>
      <c r="J117" s="675"/>
      <c r="K117" s="573"/>
      <c r="L117" s="638"/>
      <c r="M117" s="638"/>
      <c r="N117" s="638"/>
      <c r="O117" s="638"/>
      <c r="P117" s="573"/>
      <c r="Q117" s="573"/>
      <c r="R117" s="573"/>
      <c r="S117" s="573"/>
      <c r="T117" s="573"/>
      <c r="U117" s="573"/>
      <c r="V117" s="573"/>
      <c r="W117" s="573"/>
    </row>
    <row r="118" spans="1:23" s="159" customFormat="1" ht="15" customHeight="1">
      <c r="A118" s="173" t="s">
        <v>140</v>
      </c>
      <c r="B118" s="174" t="s">
        <v>141</v>
      </c>
      <c r="C118" s="175" t="s">
        <v>81</v>
      </c>
      <c r="D118" s="879">
        <f t="shared" ref="D118:I118" si="41">SUM(D120,D182,D201,D223,D273,D316,D326)</f>
        <v>4778362000</v>
      </c>
      <c r="E118" s="1403">
        <f t="shared" si="41"/>
        <v>4723723000</v>
      </c>
      <c r="F118" s="1404">
        <f t="shared" si="41"/>
        <v>5043693226</v>
      </c>
      <c r="G118" s="1674">
        <f t="shared" si="41"/>
        <v>4842786000</v>
      </c>
      <c r="H118" s="1674">
        <f t="shared" si="41"/>
        <v>0</v>
      </c>
      <c r="I118" s="1674">
        <f t="shared" si="41"/>
        <v>4842786000</v>
      </c>
      <c r="J118" s="698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64"/>
    </row>
    <row r="119" spans="1:23" s="152" customFormat="1" ht="12.75" customHeight="1">
      <c r="A119" s="658"/>
      <c r="B119" s="659"/>
      <c r="C119" s="660"/>
      <c r="D119" s="899"/>
      <c r="E119" s="1437"/>
      <c r="F119" s="1438"/>
      <c r="G119" s="1692"/>
      <c r="H119" s="1692"/>
      <c r="I119" s="1692"/>
      <c r="J119" s="675"/>
      <c r="K119" s="562"/>
      <c r="L119" s="562"/>
      <c r="M119" s="562"/>
      <c r="N119" s="562"/>
      <c r="O119" s="562"/>
      <c r="P119" s="562"/>
      <c r="Q119" s="562"/>
      <c r="R119" s="562"/>
      <c r="S119" s="562"/>
      <c r="T119" s="562"/>
      <c r="U119" s="562"/>
      <c r="V119" s="562"/>
      <c r="W119" s="562"/>
    </row>
    <row r="120" spans="1:23" s="179" customFormat="1">
      <c r="A120" s="168" t="s">
        <v>14</v>
      </c>
      <c r="B120" s="177" t="s">
        <v>142</v>
      </c>
      <c r="C120" s="170" t="s">
        <v>81</v>
      </c>
      <c r="D120" s="900">
        <f t="shared" ref="D120:I120" si="42">SUM(D121,D152)</f>
        <v>3415986000</v>
      </c>
      <c r="E120" s="1439">
        <f t="shared" si="42"/>
        <v>3407669000</v>
      </c>
      <c r="F120" s="1440">
        <f t="shared" si="42"/>
        <v>3577080000</v>
      </c>
      <c r="G120" s="1693">
        <f t="shared" si="42"/>
        <v>3426904000</v>
      </c>
      <c r="H120" s="1693">
        <f t="shared" si="42"/>
        <v>0</v>
      </c>
      <c r="I120" s="1693">
        <f t="shared" si="42"/>
        <v>3426904000</v>
      </c>
      <c r="J120" s="671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</row>
    <row r="121" spans="1:23" s="200" customFormat="1" ht="14.4">
      <c r="A121" s="197" t="s">
        <v>16</v>
      </c>
      <c r="B121" s="198" t="s">
        <v>143</v>
      </c>
      <c r="C121" s="199" t="s">
        <v>81</v>
      </c>
      <c r="D121" s="901">
        <f t="shared" ref="D121:I121" si="43">SUM(D122:D123)</f>
        <v>151853000</v>
      </c>
      <c r="E121" s="1441">
        <f t="shared" si="43"/>
        <v>144536000</v>
      </c>
      <c r="F121" s="1442">
        <f t="shared" si="43"/>
        <v>159140000</v>
      </c>
      <c r="G121" s="1694">
        <f t="shared" si="43"/>
        <v>121001000</v>
      </c>
      <c r="H121" s="1694">
        <f t="shared" si="43"/>
        <v>0</v>
      </c>
      <c r="I121" s="1694">
        <f t="shared" si="43"/>
        <v>121001000</v>
      </c>
      <c r="J121" s="671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</row>
    <row r="122" spans="1:23" s="200" customFormat="1" ht="16.5" customHeight="1">
      <c r="A122" s="197" t="s">
        <v>144</v>
      </c>
      <c r="B122" s="201" t="s">
        <v>145</v>
      </c>
      <c r="C122" s="199" t="s">
        <v>146</v>
      </c>
      <c r="D122" s="901">
        <f t="shared" ref="D122:I122" si="44">SUM(D125:D129)</f>
        <v>144653000</v>
      </c>
      <c r="E122" s="1441">
        <f t="shared" si="44"/>
        <v>139545000</v>
      </c>
      <c r="F122" s="1442">
        <f t="shared" si="44"/>
        <v>159140000</v>
      </c>
      <c r="G122" s="1694">
        <f t="shared" si="44"/>
        <v>121001000</v>
      </c>
      <c r="H122" s="1694">
        <f t="shared" si="44"/>
        <v>0</v>
      </c>
      <c r="I122" s="1694">
        <f t="shared" si="44"/>
        <v>121001000</v>
      </c>
      <c r="J122" s="671"/>
      <c r="K122" s="574"/>
      <c r="L122" s="574"/>
      <c r="M122" s="574"/>
      <c r="N122" s="574"/>
      <c r="O122" s="574"/>
      <c r="P122" s="574"/>
      <c r="Q122" s="574"/>
      <c r="R122" s="574"/>
      <c r="S122" s="574"/>
      <c r="T122" s="574"/>
      <c r="U122" s="574"/>
      <c r="V122" s="574"/>
      <c r="W122" s="574"/>
    </row>
    <row r="123" spans="1:23" s="200" customFormat="1" ht="16.5" customHeight="1">
      <c r="A123" s="197" t="s">
        <v>147</v>
      </c>
      <c r="B123" s="201" t="s">
        <v>148</v>
      </c>
      <c r="C123" s="199" t="s">
        <v>149</v>
      </c>
      <c r="D123" s="901">
        <f t="shared" ref="D123:I123" si="45">SUM(D124)</f>
        <v>7200000</v>
      </c>
      <c r="E123" s="1441">
        <f t="shared" si="45"/>
        <v>4991000</v>
      </c>
      <c r="F123" s="1442">
        <f t="shared" si="45"/>
        <v>0</v>
      </c>
      <c r="G123" s="1694">
        <f t="shared" si="45"/>
        <v>0</v>
      </c>
      <c r="H123" s="1694">
        <f t="shared" si="45"/>
        <v>0</v>
      </c>
      <c r="I123" s="1694">
        <f t="shared" si="45"/>
        <v>0</v>
      </c>
      <c r="J123" s="671"/>
      <c r="K123" s="574"/>
      <c r="L123" s="574"/>
      <c r="M123" s="574"/>
      <c r="N123" s="574"/>
      <c r="O123" s="574"/>
      <c r="P123" s="574"/>
      <c r="Q123" s="574"/>
      <c r="R123" s="574"/>
      <c r="S123" s="574"/>
      <c r="T123" s="574"/>
      <c r="U123" s="574"/>
      <c r="V123" s="574"/>
      <c r="W123" s="574"/>
    </row>
    <row r="124" spans="1:23" s="155" customFormat="1">
      <c r="A124" s="661"/>
      <c r="B124" s="194" t="s">
        <v>611</v>
      </c>
      <c r="C124" s="1986" t="s">
        <v>149</v>
      </c>
      <c r="D124" s="1943">
        <v>7200000</v>
      </c>
      <c r="E124" s="1443">
        <v>4991000</v>
      </c>
      <c r="F124" s="1444">
        <v>0</v>
      </c>
      <c r="G124" s="1695">
        <v>0</v>
      </c>
      <c r="H124" s="1695"/>
      <c r="I124" s="1695">
        <f>G124+H124</f>
        <v>0</v>
      </c>
      <c r="J124" s="675"/>
      <c r="K124" s="566"/>
      <c r="L124" s="566"/>
      <c r="M124" s="566"/>
      <c r="N124" s="566"/>
      <c r="O124" s="566"/>
      <c r="P124" s="566"/>
      <c r="Q124" s="566"/>
      <c r="R124" s="566"/>
      <c r="S124" s="566"/>
      <c r="T124" s="566"/>
      <c r="U124" s="566"/>
      <c r="V124" s="566"/>
      <c r="W124" s="566"/>
    </row>
    <row r="125" spans="1:23" s="155" customFormat="1">
      <c r="A125" s="661"/>
      <c r="B125" s="194" t="s">
        <v>612</v>
      </c>
      <c r="C125" s="1987" t="s">
        <v>146</v>
      </c>
      <c r="D125" s="1943">
        <v>184000</v>
      </c>
      <c r="E125" s="1443">
        <v>184000</v>
      </c>
      <c r="F125" s="1444">
        <v>4500000</v>
      </c>
      <c r="G125" s="1696">
        <v>2500000</v>
      </c>
      <c r="H125" s="1696"/>
      <c r="I125" s="1695">
        <f>G125+H125</f>
        <v>2500000</v>
      </c>
      <c r="J125" s="675"/>
      <c r="K125" s="566"/>
      <c r="L125" s="566"/>
      <c r="M125" s="566"/>
      <c r="N125" s="566"/>
      <c r="O125" s="566"/>
      <c r="P125" s="566"/>
      <c r="Q125" s="566"/>
      <c r="R125" s="566"/>
      <c r="S125" s="566"/>
      <c r="T125" s="566"/>
      <c r="U125" s="566"/>
      <c r="V125" s="566"/>
      <c r="W125" s="566"/>
    </row>
    <row r="126" spans="1:23" s="155" customFormat="1" ht="43.2">
      <c r="A126" s="661"/>
      <c r="B126" s="202" t="s">
        <v>613</v>
      </c>
      <c r="C126" s="1987" t="s">
        <v>146</v>
      </c>
      <c r="D126" s="1943">
        <v>60000000</v>
      </c>
      <c r="E126" s="1443">
        <v>56000000</v>
      </c>
      <c r="F126" s="1444">
        <v>57000000</v>
      </c>
      <c r="G126" s="1696">
        <v>57000000</v>
      </c>
      <c r="H126" s="1696"/>
      <c r="I126" s="1695">
        <f>G126+H126</f>
        <v>57000000</v>
      </c>
      <c r="J126" s="675"/>
      <c r="K126" s="566"/>
      <c r="L126" s="566"/>
      <c r="M126" s="566"/>
      <c r="N126" s="566"/>
      <c r="O126" s="566"/>
      <c r="P126" s="566"/>
      <c r="Q126" s="566"/>
      <c r="R126" s="566"/>
      <c r="S126" s="566"/>
      <c r="T126" s="566"/>
      <c r="U126" s="566"/>
      <c r="V126" s="566"/>
      <c r="W126" s="566"/>
    </row>
    <row r="127" spans="1:23">
      <c r="A127" s="631"/>
      <c r="B127" s="194" t="s">
        <v>614</v>
      </c>
      <c r="C127" s="1987" t="s">
        <v>146</v>
      </c>
      <c r="D127" s="1943">
        <v>1000000</v>
      </c>
      <c r="E127" s="1443">
        <v>782000</v>
      </c>
      <c r="F127" s="1444">
        <v>1720000</v>
      </c>
      <c r="G127" s="1696">
        <v>1220000</v>
      </c>
      <c r="H127" s="1696"/>
      <c r="I127" s="1695">
        <f>G127+H127</f>
        <v>1220000</v>
      </c>
      <c r="J127" s="675"/>
      <c r="K127" s="550"/>
      <c r="L127" s="550"/>
      <c r="M127" s="550"/>
      <c r="N127" s="550"/>
      <c r="O127" s="550"/>
      <c r="P127" s="550"/>
      <c r="Q127" s="550"/>
      <c r="R127" s="550"/>
      <c r="S127" s="550"/>
      <c r="T127" s="550"/>
      <c r="U127" s="550"/>
      <c r="V127" s="550"/>
      <c r="W127" s="550"/>
    </row>
    <row r="128" spans="1:23">
      <c r="A128" s="631"/>
      <c r="B128" s="194" t="s">
        <v>615</v>
      </c>
      <c r="C128" s="1987" t="s">
        <v>146</v>
      </c>
      <c r="D128" s="1943">
        <v>550000</v>
      </c>
      <c r="E128" s="1443">
        <v>200000</v>
      </c>
      <c r="F128" s="1444">
        <v>400000</v>
      </c>
      <c r="G128" s="1696">
        <v>400000</v>
      </c>
      <c r="H128" s="1696"/>
      <c r="I128" s="1695">
        <f>G128+H128</f>
        <v>400000</v>
      </c>
      <c r="J128" s="675"/>
      <c r="K128" s="550"/>
      <c r="L128" s="550"/>
      <c r="M128" s="550"/>
      <c r="N128" s="550"/>
      <c r="O128" s="550"/>
      <c r="P128" s="550"/>
      <c r="Q128" s="550"/>
      <c r="R128" s="550"/>
      <c r="S128" s="550"/>
      <c r="T128" s="550"/>
      <c r="U128" s="550"/>
      <c r="V128" s="550"/>
      <c r="W128" s="550"/>
    </row>
    <row r="129" spans="1:23" s="204" customFormat="1" ht="28.8">
      <c r="A129" s="662"/>
      <c r="B129" s="203" t="s">
        <v>616</v>
      </c>
      <c r="C129" s="1988" t="s">
        <v>146</v>
      </c>
      <c r="D129" s="1944">
        <f t="shared" ref="D129:I129" si="46">SUM(D130:D150)</f>
        <v>82919000</v>
      </c>
      <c r="E129" s="1441">
        <f t="shared" si="46"/>
        <v>82379000</v>
      </c>
      <c r="F129" s="1442">
        <f t="shared" si="46"/>
        <v>95520000</v>
      </c>
      <c r="G129" s="1694">
        <f>SUM(G130:G150)</f>
        <v>59881000</v>
      </c>
      <c r="H129" s="1694">
        <f t="shared" si="46"/>
        <v>0</v>
      </c>
      <c r="I129" s="1694">
        <f t="shared" si="46"/>
        <v>59881000</v>
      </c>
      <c r="J129" s="671"/>
      <c r="K129" s="575"/>
      <c r="L129" s="575"/>
      <c r="M129" s="575"/>
      <c r="N129" s="575"/>
      <c r="O129" s="575"/>
      <c r="P129" s="575"/>
      <c r="Q129" s="575"/>
      <c r="R129" s="575"/>
      <c r="S129" s="575"/>
      <c r="T129" s="575"/>
      <c r="U129" s="575"/>
      <c r="V129" s="575"/>
      <c r="W129" s="575"/>
    </row>
    <row r="130" spans="1:23" hidden="1">
      <c r="A130" s="631"/>
      <c r="B130" s="205" t="s">
        <v>150</v>
      </c>
      <c r="C130" s="1989"/>
      <c r="D130" s="620"/>
      <c r="E130" s="1445"/>
      <c r="F130" s="1446"/>
      <c r="G130" s="1697"/>
      <c r="H130" s="1697"/>
      <c r="I130" s="1697"/>
      <c r="J130" s="675"/>
      <c r="K130" s="550"/>
      <c r="L130" s="550"/>
      <c r="M130" s="550"/>
      <c r="N130" s="550"/>
      <c r="O130" s="550"/>
      <c r="P130" s="550"/>
      <c r="Q130" s="550"/>
      <c r="R130" s="550"/>
      <c r="S130" s="550"/>
      <c r="T130" s="550"/>
      <c r="U130" s="550"/>
      <c r="V130" s="550"/>
      <c r="W130" s="550"/>
    </row>
    <row r="131" spans="1:23">
      <c r="A131" s="631"/>
      <c r="B131" s="205" t="s">
        <v>151</v>
      </c>
      <c r="C131" s="1989"/>
      <c r="D131" s="1945">
        <v>5718000</v>
      </c>
      <c r="E131" s="1443">
        <v>5178000</v>
      </c>
      <c r="F131" s="1444">
        <v>0</v>
      </c>
      <c r="G131" s="1696">
        <v>0</v>
      </c>
      <c r="H131" s="1696"/>
      <c r="I131" s="1696">
        <f>G131+H131</f>
        <v>0</v>
      </c>
      <c r="J131" s="675"/>
      <c r="K131" s="550"/>
      <c r="L131" s="550"/>
      <c r="M131" s="550"/>
      <c r="N131" s="550"/>
      <c r="O131" s="550"/>
      <c r="P131" s="550"/>
      <c r="Q131" s="550"/>
      <c r="R131" s="550"/>
      <c r="S131" s="550"/>
      <c r="T131" s="550"/>
      <c r="U131" s="550"/>
      <c r="V131" s="550"/>
      <c r="W131" s="550"/>
    </row>
    <row r="132" spans="1:23" hidden="1">
      <c r="A132" s="631"/>
      <c r="B132" s="205" t="s">
        <v>152</v>
      </c>
      <c r="C132" s="1989"/>
      <c r="D132" s="620"/>
      <c r="E132" s="1445"/>
      <c r="F132" s="1446"/>
      <c r="G132" s="1697"/>
      <c r="H132" s="1697"/>
      <c r="I132" s="1696">
        <f t="shared" ref="I132:I150" si="47">G132+H132</f>
        <v>0</v>
      </c>
      <c r="J132" s="675"/>
      <c r="K132" s="550"/>
      <c r="L132" s="550"/>
      <c r="M132" s="550"/>
      <c r="N132" s="550"/>
      <c r="O132" s="550"/>
      <c r="P132" s="550"/>
      <c r="Q132" s="550"/>
      <c r="R132" s="550"/>
      <c r="S132" s="550"/>
      <c r="T132" s="550"/>
      <c r="U132" s="550"/>
      <c r="V132" s="550"/>
      <c r="W132" s="550"/>
    </row>
    <row r="133" spans="1:23" hidden="1">
      <c r="A133" s="631"/>
      <c r="B133" s="205" t="s">
        <v>153</v>
      </c>
      <c r="C133" s="1989"/>
      <c r="D133" s="620"/>
      <c r="E133" s="1445"/>
      <c r="F133" s="1446"/>
      <c r="G133" s="1697"/>
      <c r="H133" s="1697"/>
      <c r="I133" s="1696">
        <f t="shared" si="47"/>
        <v>0</v>
      </c>
      <c r="J133" s="675"/>
      <c r="K133" s="550"/>
      <c r="L133" s="550"/>
      <c r="M133" s="550"/>
      <c r="N133" s="550"/>
      <c r="O133" s="550"/>
      <c r="P133" s="550"/>
      <c r="Q133" s="550"/>
      <c r="R133" s="550"/>
      <c r="S133" s="550"/>
      <c r="T133" s="550"/>
      <c r="U133" s="550"/>
      <c r="V133" s="550"/>
      <c r="W133" s="550"/>
    </row>
    <row r="134" spans="1:23" hidden="1">
      <c r="A134" s="631"/>
      <c r="B134" s="205" t="s">
        <v>154</v>
      </c>
      <c r="C134" s="1989"/>
      <c r="D134" s="620"/>
      <c r="E134" s="1445"/>
      <c r="F134" s="1446"/>
      <c r="G134" s="1697"/>
      <c r="H134" s="1697"/>
      <c r="I134" s="1696">
        <f t="shared" si="47"/>
        <v>0</v>
      </c>
      <c r="J134" s="675"/>
      <c r="K134" s="550"/>
      <c r="L134" s="550"/>
      <c r="M134" s="550"/>
      <c r="N134" s="550"/>
      <c r="O134" s="550"/>
      <c r="P134" s="550"/>
      <c r="Q134" s="550"/>
      <c r="R134" s="550"/>
      <c r="S134" s="550"/>
      <c r="T134" s="550"/>
      <c r="U134" s="550"/>
      <c r="V134" s="550"/>
      <c r="W134" s="550"/>
    </row>
    <row r="135" spans="1:23" hidden="1">
      <c r="A135" s="631"/>
      <c r="B135" s="205" t="s">
        <v>155</v>
      </c>
      <c r="C135" s="1989"/>
      <c r="D135" s="620"/>
      <c r="E135" s="1445"/>
      <c r="F135" s="1446"/>
      <c r="G135" s="1697"/>
      <c r="H135" s="1697"/>
      <c r="I135" s="1696">
        <f t="shared" si="47"/>
        <v>0</v>
      </c>
      <c r="J135" s="675"/>
      <c r="K135" s="550"/>
      <c r="L135" s="550"/>
      <c r="M135" s="550"/>
      <c r="N135" s="550"/>
      <c r="O135" s="550"/>
      <c r="P135" s="550"/>
      <c r="Q135" s="550"/>
      <c r="R135" s="550"/>
      <c r="S135" s="550"/>
      <c r="T135" s="550"/>
      <c r="U135" s="550"/>
      <c r="V135" s="550"/>
      <c r="W135" s="550"/>
    </row>
    <row r="136" spans="1:23" hidden="1">
      <c r="A136" s="631"/>
      <c r="B136" s="205" t="s">
        <v>156</v>
      </c>
      <c r="C136" s="1989"/>
      <c r="D136" s="620"/>
      <c r="E136" s="1445"/>
      <c r="F136" s="1446"/>
      <c r="G136" s="1697"/>
      <c r="H136" s="1697"/>
      <c r="I136" s="1696">
        <f t="shared" si="47"/>
        <v>0</v>
      </c>
      <c r="J136" s="675"/>
      <c r="K136" s="550"/>
      <c r="L136" s="550"/>
      <c r="M136" s="550"/>
      <c r="N136" s="550"/>
      <c r="O136" s="550"/>
      <c r="P136" s="550"/>
      <c r="Q136" s="550"/>
      <c r="R136" s="550"/>
      <c r="S136" s="550"/>
      <c r="T136" s="550"/>
      <c r="U136" s="550"/>
      <c r="V136" s="550"/>
      <c r="W136" s="550"/>
    </row>
    <row r="137" spans="1:23" hidden="1">
      <c r="A137" s="631"/>
      <c r="B137" s="205" t="s">
        <v>157</v>
      </c>
      <c r="C137" s="1989"/>
      <c r="D137" s="620"/>
      <c r="E137" s="1445"/>
      <c r="F137" s="1446"/>
      <c r="G137" s="1697"/>
      <c r="H137" s="1697"/>
      <c r="I137" s="1696">
        <f t="shared" si="47"/>
        <v>0</v>
      </c>
      <c r="J137" s="675"/>
      <c r="K137" s="550"/>
      <c r="L137" s="550"/>
      <c r="M137" s="550"/>
      <c r="N137" s="550"/>
      <c r="O137" s="550"/>
      <c r="P137" s="550"/>
      <c r="Q137" s="550"/>
      <c r="R137" s="550"/>
      <c r="S137" s="550"/>
      <c r="T137" s="550"/>
      <c r="U137" s="550"/>
      <c r="V137" s="550"/>
      <c r="W137" s="550"/>
    </row>
    <row r="138" spans="1:23" hidden="1">
      <c r="A138" s="631"/>
      <c r="B138" s="205" t="s">
        <v>158</v>
      </c>
      <c r="C138" s="1989"/>
      <c r="D138" s="620"/>
      <c r="E138" s="1445"/>
      <c r="F138" s="1446"/>
      <c r="G138" s="1697"/>
      <c r="H138" s="1697"/>
      <c r="I138" s="1696">
        <f t="shared" si="47"/>
        <v>0</v>
      </c>
      <c r="J138" s="675"/>
      <c r="K138" s="550"/>
      <c r="L138" s="550"/>
      <c r="M138" s="550"/>
      <c r="N138" s="550"/>
      <c r="O138" s="550"/>
      <c r="P138" s="550"/>
      <c r="Q138" s="550"/>
      <c r="R138" s="550"/>
      <c r="S138" s="550"/>
      <c r="T138" s="550"/>
      <c r="U138" s="550"/>
      <c r="V138" s="550"/>
      <c r="W138" s="550"/>
    </row>
    <row r="139" spans="1:23" hidden="1">
      <c r="A139" s="631"/>
      <c r="B139" s="205" t="s">
        <v>159</v>
      </c>
      <c r="C139" s="1989"/>
      <c r="D139" s="620"/>
      <c r="E139" s="1445"/>
      <c r="F139" s="1446"/>
      <c r="G139" s="1697"/>
      <c r="H139" s="1697"/>
      <c r="I139" s="1696">
        <f t="shared" si="47"/>
        <v>0</v>
      </c>
      <c r="J139" s="675"/>
      <c r="K139" s="550"/>
      <c r="L139" s="550"/>
      <c r="M139" s="550"/>
      <c r="N139" s="550"/>
      <c r="O139" s="550"/>
      <c r="P139" s="550"/>
      <c r="Q139" s="550"/>
      <c r="R139" s="550"/>
      <c r="S139" s="550"/>
      <c r="T139" s="550"/>
      <c r="U139" s="550"/>
      <c r="V139" s="550"/>
      <c r="W139" s="550"/>
    </row>
    <row r="140" spans="1:23" hidden="1">
      <c r="A140" s="631"/>
      <c r="B140" s="205" t="s">
        <v>160</v>
      </c>
      <c r="C140" s="1989"/>
      <c r="D140" s="620"/>
      <c r="E140" s="1445"/>
      <c r="F140" s="1446"/>
      <c r="G140" s="1697"/>
      <c r="H140" s="1697"/>
      <c r="I140" s="1696">
        <f t="shared" si="47"/>
        <v>0</v>
      </c>
      <c r="J140" s="675"/>
      <c r="K140" s="550"/>
      <c r="L140" s="550"/>
      <c r="M140" s="550"/>
      <c r="N140" s="550"/>
      <c r="O140" s="550"/>
      <c r="P140" s="550"/>
      <c r="Q140" s="550"/>
      <c r="R140" s="550"/>
      <c r="S140" s="550"/>
      <c r="T140" s="550"/>
      <c r="U140" s="550"/>
      <c r="V140" s="550"/>
      <c r="W140" s="550"/>
    </row>
    <row r="141" spans="1:23" hidden="1">
      <c r="A141" s="631"/>
      <c r="B141" s="205" t="s">
        <v>161</v>
      </c>
      <c r="C141" s="1989"/>
      <c r="D141" s="620"/>
      <c r="E141" s="1445"/>
      <c r="F141" s="1446"/>
      <c r="G141" s="1697"/>
      <c r="H141" s="1697"/>
      <c r="I141" s="1696">
        <f t="shared" si="47"/>
        <v>0</v>
      </c>
      <c r="J141" s="675"/>
      <c r="K141" s="550"/>
      <c r="L141" s="550"/>
      <c r="M141" s="550"/>
      <c r="N141" s="550"/>
      <c r="O141" s="550"/>
      <c r="P141" s="550"/>
      <c r="Q141" s="550"/>
      <c r="R141" s="550"/>
      <c r="S141" s="550"/>
      <c r="T141" s="550"/>
      <c r="U141" s="550"/>
      <c r="V141" s="550"/>
      <c r="W141" s="550"/>
    </row>
    <row r="142" spans="1:23" hidden="1">
      <c r="A142" s="631"/>
      <c r="B142" s="205" t="s">
        <v>162</v>
      </c>
      <c r="C142" s="1989"/>
      <c r="D142" s="620"/>
      <c r="E142" s="1445"/>
      <c r="F142" s="1446"/>
      <c r="G142" s="1697"/>
      <c r="H142" s="1697"/>
      <c r="I142" s="1696">
        <f t="shared" si="47"/>
        <v>0</v>
      </c>
      <c r="J142" s="675"/>
      <c r="K142" s="550"/>
      <c r="L142" s="550"/>
      <c r="M142" s="550"/>
      <c r="N142" s="550"/>
      <c r="O142" s="550"/>
      <c r="P142" s="550"/>
      <c r="Q142" s="550"/>
      <c r="R142" s="550"/>
      <c r="S142" s="550"/>
      <c r="T142" s="550"/>
      <c r="U142" s="550"/>
      <c r="V142" s="550"/>
      <c r="W142" s="550"/>
    </row>
    <row r="143" spans="1:23" hidden="1">
      <c r="A143" s="631"/>
      <c r="B143" s="205" t="s">
        <v>163</v>
      </c>
      <c r="C143" s="1989"/>
      <c r="D143" s="620"/>
      <c r="E143" s="1445"/>
      <c r="F143" s="1446"/>
      <c r="G143" s="1697"/>
      <c r="H143" s="1697"/>
      <c r="I143" s="1696">
        <f t="shared" si="47"/>
        <v>0</v>
      </c>
      <c r="J143" s="675"/>
      <c r="K143" s="550"/>
      <c r="L143" s="550"/>
      <c r="M143" s="550"/>
      <c r="N143" s="550"/>
      <c r="O143" s="550"/>
      <c r="P143" s="550"/>
      <c r="Q143" s="550"/>
      <c r="R143" s="550"/>
      <c r="S143" s="550"/>
      <c r="T143" s="550"/>
      <c r="U143" s="550"/>
      <c r="V143" s="550"/>
      <c r="W143" s="550"/>
    </row>
    <row r="144" spans="1:23" hidden="1">
      <c r="A144" s="631"/>
      <c r="B144" s="205" t="s">
        <v>164</v>
      </c>
      <c r="C144" s="1989"/>
      <c r="D144" s="620"/>
      <c r="E144" s="1445"/>
      <c r="F144" s="1446"/>
      <c r="G144" s="1697"/>
      <c r="H144" s="1697"/>
      <c r="I144" s="1696">
        <f t="shared" si="47"/>
        <v>0</v>
      </c>
      <c r="J144" s="675"/>
      <c r="K144" s="550"/>
      <c r="L144" s="550"/>
      <c r="M144" s="550"/>
      <c r="N144" s="550"/>
      <c r="O144" s="550"/>
      <c r="P144" s="550"/>
      <c r="Q144" s="550"/>
      <c r="R144" s="550"/>
      <c r="S144" s="550"/>
      <c r="T144" s="550"/>
      <c r="U144" s="550"/>
      <c r="V144" s="550"/>
      <c r="W144" s="550"/>
    </row>
    <row r="145" spans="1:23">
      <c r="A145" s="631"/>
      <c r="B145" s="205" t="s">
        <v>165</v>
      </c>
      <c r="C145" s="1989"/>
      <c r="D145" s="1945">
        <v>460000</v>
      </c>
      <c r="E145" s="1443">
        <v>460000</v>
      </c>
      <c r="F145" s="1444">
        <v>520000</v>
      </c>
      <c r="G145" s="1696">
        <v>520000</v>
      </c>
      <c r="H145" s="1696"/>
      <c r="I145" s="1696">
        <f t="shared" si="47"/>
        <v>520000</v>
      </c>
      <c r="J145" s="675"/>
      <c r="K145" s="550"/>
      <c r="L145" s="550"/>
      <c r="M145" s="550"/>
      <c r="N145" s="550"/>
      <c r="O145" s="550"/>
      <c r="P145" s="550"/>
      <c r="Q145" s="550"/>
      <c r="R145" s="550"/>
      <c r="S145" s="550"/>
      <c r="T145" s="550"/>
      <c r="U145" s="550"/>
      <c r="V145" s="550"/>
      <c r="W145" s="550"/>
    </row>
    <row r="146" spans="1:23">
      <c r="A146" s="631"/>
      <c r="B146" s="205" t="s">
        <v>166</v>
      </c>
      <c r="C146" s="1989"/>
      <c r="D146" s="1945">
        <v>76741000</v>
      </c>
      <c r="E146" s="1443">
        <v>76741000</v>
      </c>
      <c r="F146" s="1444">
        <v>75000000</v>
      </c>
      <c r="G146" s="1696">
        <v>49352000</v>
      </c>
      <c r="H146" s="1696"/>
      <c r="I146" s="1696">
        <f t="shared" si="47"/>
        <v>49352000</v>
      </c>
      <c r="J146" s="675"/>
      <c r="K146" s="550"/>
      <c r="L146" s="550"/>
      <c r="M146" s="550"/>
      <c r="N146" s="550"/>
      <c r="O146" s="550"/>
      <c r="P146" s="550"/>
      <c r="Q146" s="550"/>
      <c r="R146" s="550"/>
      <c r="S146" s="550"/>
      <c r="T146" s="550"/>
      <c r="U146" s="550"/>
      <c r="V146" s="550"/>
      <c r="W146" s="550"/>
    </row>
    <row r="147" spans="1:23" hidden="1">
      <c r="A147" s="631"/>
      <c r="B147" s="205" t="s">
        <v>167</v>
      </c>
      <c r="C147" s="1989"/>
      <c r="D147" s="620"/>
      <c r="E147" s="1445"/>
      <c r="F147" s="1446"/>
      <c r="G147" s="1697"/>
      <c r="H147" s="1697"/>
      <c r="I147" s="1696">
        <f t="shared" si="47"/>
        <v>0</v>
      </c>
      <c r="J147" s="675"/>
      <c r="K147" s="550"/>
      <c r="L147" s="550"/>
      <c r="M147" s="550"/>
      <c r="N147" s="550"/>
      <c r="O147" s="550"/>
      <c r="P147" s="550"/>
      <c r="Q147" s="550"/>
      <c r="R147" s="550"/>
      <c r="S147" s="550"/>
      <c r="T147" s="550"/>
      <c r="U147" s="550"/>
      <c r="V147" s="550"/>
      <c r="W147" s="550"/>
    </row>
    <row r="148" spans="1:23">
      <c r="A148" s="631"/>
      <c r="B148" s="952" t="s">
        <v>1011</v>
      </c>
      <c r="C148" s="1989"/>
      <c r="D148" s="620"/>
      <c r="E148" s="1781"/>
      <c r="F148" s="1782"/>
      <c r="G148" s="1783">
        <v>9000</v>
      </c>
      <c r="H148" s="2025"/>
      <c r="I148" s="1696">
        <f t="shared" si="47"/>
        <v>9000</v>
      </c>
      <c r="J148" s="675"/>
      <c r="K148" s="550"/>
      <c r="L148" s="550"/>
      <c r="M148" s="550"/>
      <c r="N148" s="550"/>
      <c r="O148" s="550"/>
      <c r="P148" s="550"/>
      <c r="Q148" s="550"/>
      <c r="R148" s="550"/>
      <c r="S148" s="550"/>
      <c r="T148" s="550"/>
      <c r="U148" s="550"/>
      <c r="V148" s="550"/>
      <c r="W148" s="550"/>
    </row>
    <row r="149" spans="1:23">
      <c r="A149" s="631"/>
      <c r="B149" s="952" t="s">
        <v>1110</v>
      </c>
      <c r="C149" s="1989"/>
      <c r="D149" s="620"/>
      <c r="E149" s="2022"/>
      <c r="F149" s="1782"/>
      <c r="G149" s="1783">
        <v>10000000</v>
      </c>
      <c r="H149" s="2026"/>
      <c r="I149" s="1696">
        <f t="shared" si="47"/>
        <v>10000000</v>
      </c>
      <c r="J149" s="675"/>
      <c r="K149" s="550"/>
      <c r="L149" s="550"/>
      <c r="M149" s="550"/>
      <c r="N149" s="550"/>
      <c r="O149" s="550"/>
      <c r="P149" s="550"/>
      <c r="Q149" s="550"/>
      <c r="R149" s="550"/>
      <c r="S149" s="550"/>
      <c r="T149" s="550"/>
      <c r="U149" s="550"/>
      <c r="V149" s="550"/>
      <c r="W149" s="550"/>
    </row>
    <row r="150" spans="1:23">
      <c r="A150" s="631"/>
      <c r="B150" s="205" t="s">
        <v>168</v>
      </c>
      <c r="C150" s="1989"/>
      <c r="D150" s="620"/>
      <c r="E150" s="1443"/>
      <c r="F150" s="1444">
        <v>20000000</v>
      </c>
      <c r="G150" s="1696">
        <v>0</v>
      </c>
      <c r="H150" s="1696"/>
      <c r="I150" s="1696">
        <f t="shared" si="47"/>
        <v>0</v>
      </c>
      <c r="J150" s="675"/>
      <c r="K150" s="550"/>
      <c r="L150" s="550"/>
      <c r="M150" s="550"/>
      <c r="N150" s="550"/>
      <c r="O150" s="550"/>
      <c r="P150" s="550"/>
      <c r="Q150" s="550"/>
      <c r="R150" s="550"/>
      <c r="S150" s="550"/>
      <c r="T150" s="550"/>
      <c r="U150" s="550"/>
      <c r="V150" s="550"/>
      <c r="W150" s="550"/>
    </row>
    <row r="151" spans="1:23">
      <c r="A151" s="631"/>
      <c r="B151" s="663"/>
      <c r="C151" s="1989"/>
      <c r="D151" s="620"/>
      <c r="E151" s="1447"/>
      <c r="F151" s="1448"/>
      <c r="G151" s="1699"/>
      <c r="H151" s="1699"/>
      <c r="I151" s="1699"/>
      <c r="J151" s="675"/>
      <c r="K151" s="550"/>
      <c r="L151" s="550"/>
      <c r="M151" s="550"/>
      <c r="N151" s="550"/>
      <c r="O151" s="550"/>
      <c r="P151" s="550"/>
      <c r="Q151" s="550"/>
      <c r="R151" s="550"/>
      <c r="S151" s="550"/>
      <c r="T151" s="550"/>
      <c r="U151" s="550"/>
      <c r="V151" s="550"/>
      <c r="W151" s="550"/>
    </row>
    <row r="152" spans="1:23" s="200" customFormat="1" ht="14.4">
      <c r="A152" s="197" t="s">
        <v>17</v>
      </c>
      <c r="B152" s="198" t="s">
        <v>169</v>
      </c>
      <c r="C152" s="1990"/>
      <c r="D152" s="1944">
        <f t="shared" ref="D152:I152" si="48">SUM(D153:D154)</f>
        <v>3264133000</v>
      </c>
      <c r="E152" s="1441">
        <f t="shared" si="48"/>
        <v>3263133000</v>
      </c>
      <c r="F152" s="1442">
        <f t="shared" si="48"/>
        <v>3417940000</v>
      </c>
      <c r="G152" s="1694">
        <f t="shared" si="48"/>
        <v>3305903000</v>
      </c>
      <c r="H152" s="1694">
        <f t="shared" si="48"/>
        <v>0</v>
      </c>
      <c r="I152" s="1694">
        <f t="shared" si="48"/>
        <v>3305903000</v>
      </c>
      <c r="J152" s="671"/>
      <c r="K152" s="574"/>
      <c r="L152" s="574"/>
      <c r="M152" s="574"/>
      <c r="N152" s="574"/>
      <c r="O152" s="574"/>
      <c r="P152" s="574"/>
      <c r="Q152" s="574"/>
      <c r="R152" s="574"/>
      <c r="S152" s="574"/>
      <c r="T152" s="574"/>
      <c r="U152" s="574"/>
      <c r="V152" s="574"/>
      <c r="W152" s="574"/>
    </row>
    <row r="153" spans="1:23" s="200" customFormat="1" ht="14.4">
      <c r="A153" s="197" t="s">
        <v>170</v>
      </c>
      <c r="B153" s="201" t="s">
        <v>145</v>
      </c>
      <c r="C153" s="1988" t="s">
        <v>171</v>
      </c>
      <c r="D153" s="1944">
        <f t="shared" ref="D153:I153" si="49">SUM(D160:D160,D161,D162,D163,D164,D165,D166,D167,D155)</f>
        <v>3264133000</v>
      </c>
      <c r="E153" s="1441">
        <f t="shared" si="49"/>
        <v>3263133000</v>
      </c>
      <c r="F153" s="1442">
        <f t="shared" si="49"/>
        <v>3417940000</v>
      </c>
      <c r="G153" s="1694">
        <f t="shared" si="49"/>
        <v>3305903000</v>
      </c>
      <c r="H153" s="1694">
        <f t="shared" si="49"/>
        <v>0</v>
      </c>
      <c r="I153" s="1694">
        <f t="shared" si="49"/>
        <v>3305903000</v>
      </c>
      <c r="J153" s="671"/>
      <c r="K153" s="574"/>
      <c r="L153" s="574"/>
      <c r="M153" s="574"/>
      <c r="N153" s="574"/>
      <c r="O153" s="574"/>
      <c r="P153" s="574"/>
      <c r="Q153" s="574"/>
      <c r="R153" s="574"/>
      <c r="S153" s="574"/>
      <c r="T153" s="574"/>
      <c r="U153" s="574"/>
      <c r="V153" s="574"/>
      <c r="W153" s="574"/>
    </row>
    <row r="154" spans="1:23" s="200" customFormat="1" ht="14.4">
      <c r="A154" s="197" t="s">
        <v>172</v>
      </c>
      <c r="B154" s="201" t="s">
        <v>148</v>
      </c>
      <c r="C154" s="1988" t="s">
        <v>173</v>
      </c>
      <c r="D154" s="1944">
        <f t="shared" ref="D154:I154" si="50">SUM(D159)</f>
        <v>0</v>
      </c>
      <c r="E154" s="1441">
        <f t="shared" si="50"/>
        <v>0</v>
      </c>
      <c r="F154" s="1442">
        <f t="shared" si="50"/>
        <v>0</v>
      </c>
      <c r="G154" s="1694">
        <f t="shared" si="50"/>
        <v>0</v>
      </c>
      <c r="H154" s="1694">
        <f t="shared" si="50"/>
        <v>0</v>
      </c>
      <c r="I154" s="1694">
        <f t="shared" si="50"/>
        <v>0</v>
      </c>
      <c r="J154" s="671"/>
      <c r="K154" s="574"/>
      <c r="L154" s="574"/>
      <c r="M154" s="574"/>
      <c r="N154" s="574"/>
      <c r="O154" s="574"/>
      <c r="P154" s="574"/>
      <c r="Q154" s="574"/>
      <c r="R154" s="574"/>
      <c r="S154" s="574"/>
      <c r="T154" s="574"/>
      <c r="U154" s="574"/>
      <c r="V154" s="574"/>
      <c r="W154" s="574"/>
    </row>
    <row r="155" spans="1:23" s="200" customFormat="1" ht="14.4">
      <c r="A155" s="664"/>
      <c r="B155" s="206" t="s">
        <v>617</v>
      </c>
      <c r="C155" s="1988" t="s">
        <v>171</v>
      </c>
      <c r="D155" s="1944">
        <f t="shared" ref="D155:I155" si="51">SUM(D156:D158)</f>
        <v>94610000</v>
      </c>
      <c r="E155" s="1441">
        <f t="shared" si="51"/>
        <v>94610000</v>
      </c>
      <c r="F155" s="1442">
        <f t="shared" si="51"/>
        <v>105837000</v>
      </c>
      <c r="G155" s="1694">
        <f t="shared" si="51"/>
        <v>97600000</v>
      </c>
      <c r="H155" s="1694">
        <f t="shared" si="51"/>
        <v>0</v>
      </c>
      <c r="I155" s="1694">
        <f t="shared" si="51"/>
        <v>97600000</v>
      </c>
      <c r="J155" s="671"/>
      <c r="K155" s="814">
        <f>G155-97600000</f>
        <v>0</v>
      </c>
      <c r="L155" s="574"/>
      <c r="M155" s="574"/>
      <c r="N155" s="574"/>
      <c r="O155" s="574"/>
      <c r="P155" s="574"/>
      <c r="Q155" s="574"/>
      <c r="R155" s="574"/>
      <c r="S155" s="574"/>
      <c r="T155" s="574"/>
      <c r="U155" s="574"/>
      <c r="V155" s="574"/>
      <c r="W155" s="574"/>
    </row>
    <row r="156" spans="1:23" s="155" customFormat="1">
      <c r="A156" s="661"/>
      <c r="B156" s="205" t="s">
        <v>174</v>
      </c>
      <c r="C156" s="1987" t="s">
        <v>171</v>
      </c>
      <c r="D156" s="1945">
        <v>50000</v>
      </c>
      <c r="E156" s="1443">
        <v>50000</v>
      </c>
      <c r="F156" s="1444">
        <v>50000</v>
      </c>
      <c r="G156" s="1695">
        <v>50000</v>
      </c>
      <c r="H156" s="1695"/>
      <c r="I156" s="1695">
        <f>G156+H156</f>
        <v>50000</v>
      </c>
      <c r="J156" s="675"/>
      <c r="K156" s="566"/>
      <c r="L156" s="566"/>
      <c r="M156" s="566"/>
      <c r="N156" s="566"/>
      <c r="O156" s="566"/>
      <c r="P156" s="566"/>
      <c r="Q156" s="566"/>
      <c r="R156" s="566"/>
      <c r="S156" s="566"/>
      <c r="T156" s="566"/>
      <c r="U156" s="566"/>
      <c r="V156" s="566"/>
      <c r="W156" s="566"/>
    </row>
    <row r="157" spans="1:23" s="155" customFormat="1">
      <c r="A157" s="661"/>
      <c r="B157" s="205" t="s">
        <v>175</v>
      </c>
      <c r="C157" s="1987" t="s">
        <v>171</v>
      </c>
      <c r="D157" s="1945">
        <v>89523000</v>
      </c>
      <c r="E157" s="1443">
        <v>89523000</v>
      </c>
      <c r="F157" s="1444">
        <v>100844000</v>
      </c>
      <c r="G157" s="1696">
        <f>100844000-8237000</f>
        <v>92607000</v>
      </c>
      <c r="H157" s="1695"/>
      <c r="I157" s="1695">
        <f t="shared" ref="I157:I166" si="52">G157+H157</f>
        <v>92607000</v>
      </c>
      <c r="J157" s="675"/>
      <c r="K157" s="566"/>
      <c r="L157" s="566"/>
      <c r="M157" s="566"/>
      <c r="N157" s="566"/>
      <c r="O157" s="566"/>
      <c r="P157" s="566"/>
      <c r="Q157" s="566"/>
      <c r="R157" s="566"/>
      <c r="S157" s="566"/>
      <c r="T157" s="566"/>
      <c r="U157" s="566"/>
      <c r="V157" s="566"/>
      <c r="W157" s="566"/>
    </row>
    <row r="158" spans="1:23" s="155" customFormat="1">
      <c r="A158" s="661"/>
      <c r="B158" s="205" t="s">
        <v>176</v>
      </c>
      <c r="C158" s="1987" t="s">
        <v>171</v>
      </c>
      <c r="D158" s="1945">
        <v>5037000</v>
      </c>
      <c r="E158" s="1443">
        <v>5037000</v>
      </c>
      <c r="F158" s="1444">
        <v>4943000</v>
      </c>
      <c r="G158" s="1695">
        <v>4943000</v>
      </c>
      <c r="H158" s="1695"/>
      <c r="I158" s="1695">
        <f t="shared" si="52"/>
        <v>4943000</v>
      </c>
      <c r="J158" s="675"/>
      <c r="K158" s="566"/>
      <c r="L158" s="566"/>
      <c r="M158" s="566"/>
      <c r="N158" s="566"/>
      <c r="O158" s="566"/>
      <c r="P158" s="566"/>
      <c r="Q158" s="566"/>
      <c r="R158" s="566"/>
      <c r="S158" s="566"/>
      <c r="T158" s="566"/>
      <c r="U158" s="566"/>
      <c r="V158" s="566"/>
      <c r="W158" s="566"/>
    </row>
    <row r="159" spans="1:23" s="155" customFormat="1" ht="14.4">
      <c r="A159" s="661"/>
      <c r="B159" s="194" t="s">
        <v>611</v>
      </c>
      <c r="C159" s="1987" t="s">
        <v>173</v>
      </c>
      <c r="D159" s="161"/>
      <c r="E159" s="1443"/>
      <c r="F159" s="1444"/>
      <c r="G159" s="1695"/>
      <c r="H159" s="1695"/>
      <c r="I159" s="1695">
        <f t="shared" si="52"/>
        <v>0</v>
      </c>
      <c r="J159" s="675"/>
      <c r="K159" s="566"/>
      <c r="L159" s="566"/>
      <c r="M159" s="566"/>
      <c r="N159" s="566"/>
      <c r="O159" s="566"/>
      <c r="P159" s="566"/>
      <c r="Q159" s="566"/>
      <c r="R159" s="566"/>
      <c r="S159" s="566"/>
      <c r="T159" s="566"/>
      <c r="U159" s="566"/>
      <c r="V159" s="566"/>
      <c r="W159" s="566"/>
    </row>
    <row r="160" spans="1:23" s="155" customFormat="1">
      <c r="A160" s="661"/>
      <c r="B160" s="194" t="s">
        <v>612</v>
      </c>
      <c r="C160" s="1987" t="s">
        <v>171</v>
      </c>
      <c r="D160" s="1945">
        <v>79000</v>
      </c>
      <c r="E160" s="1443">
        <v>79000</v>
      </c>
      <c r="F160" s="1444">
        <v>2400000</v>
      </c>
      <c r="G160" s="1696">
        <v>1400000</v>
      </c>
      <c r="H160" s="1696"/>
      <c r="I160" s="1695">
        <f t="shared" si="52"/>
        <v>1400000</v>
      </c>
      <c r="J160" s="675"/>
      <c r="K160" s="566"/>
      <c r="L160" s="566"/>
      <c r="M160" s="566"/>
      <c r="N160" s="566"/>
      <c r="O160" s="566"/>
      <c r="P160" s="566"/>
      <c r="Q160" s="566"/>
      <c r="R160" s="566"/>
      <c r="S160" s="566"/>
      <c r="T160" s="566"/>
      <c r="U160" s="566"/>
      <c r="V160" s="566"/>
      <c r="W160" s="566"/>
    </row>
    <row r="161" spans="1:23" s="155" customFormat="1">
      <c r="A161" s="661"/>
      <c r="B161" s="207" t="s">
        <v>618</v>
      </c>
      <c r="C161" s="1987" t="s">
        <v>171</v>
      </c>
      <c r="D161" s="1945">
        <v>3000000</v>
      </c>
      <c r="E161" s="1443">
        <v>2000000</v>
      </c>
      <c r="F161" s="1444">
        <v>3000000</v>
      </c>
      <c r="G161" s="1696">
        <v>2500000</v>
      </c>
      <c r="H161" s="1696"/>
      <c r="I161" s="1695">
        <f t="shared" si="52"/>
        <v>2500000</v>
      </c>
      <c r="J161" s="675"/>
      <c r="K161" s="566"/>
      <c r="L161" s="566"/>
      <c r="M161" s="566"/>
      <c r="N161" s="566"/>
      <c r="O161" s="566"/>
      <c r="P161" s="566"/>
      <c r="Q161" s="566"/>
      <c r="R161" s="566"/>
      <c r="S161" s="566"/>
      <c r="T161" s="566"/>
      <c r="U161" s="566"/>
      <c r="V161" s="566"/>
      <c r="W161" s="566"/>
    </row>
    <row r="162" spans="1:23" s="155" customFormat="1" ht="33" customHeight="1">
      <c r="A162" s="661"/>
      <c r="B162" s="207" t="s">
        <v>619</v>
      </c>
      <c r="C162" s="1987" t="s">
        <v>171</v>
      </c>
      <c r="D162" s="1946">
        <v>5000000</v>
      </c>
      <c r="E162" s="1443">
        <v>5000000</v>
      </c>
      <c r="F162" s="1444">
        <v>9000000</v>
      </c>
      <c r="G162" s="1696">
        <v>6500000</v>
      </c>
      <c r="H162" s="1696"/>
      <c r="I162" s="1695">
        <f t="shared" si="52"/>
        <v>6500000</v>
      </c>
      <c r="J162" s="675"/>
      <c r="K162" s="566"/>
      <c r="L162" s="566"/>
      <c r="M162" s="566"/>
      <c r="N162" s="566"/>
      <c r="O162" s="566"/>
      <c r="P162" s="566"/>
      <c r="Q162" s="566"/>
      <c r="R162" s="566"/>
      <c r="S162" s="566"/>
      <c r="T162" s="566"/>
      <c r="U162" s="566"/>
      <c r="V162" s="566"/>
      <c r="W162" s="566"/>
    </row>
    <row r="163" spans="1:23" s="155" customFormat="1" ht="14.4">
      <c r="A163" s="661"/>
      <c r="B163" s="194" t="s">
        <v>620</v>
      </c>
      <c r="C163" s="1987" t="s">
        <v>171</v>
      </c>
      <c r="D163" s="161">
        <v>2980196000</v>
      </c>
      <c r="E163" s="1443">
        <v>2980196000</v>
      </c>
      <c r="F163" s="1444">
        <v>3020000000</v>
      </c>
      <c r="G163" s="1696">
        <v>2985000000</v>
      </c>
      <c r="H163" s="1696"/>
      <c r="I163" s="1695">
        <f t="shared" si="52"/>
        <v>2985000000</v>
      </c>
      <c r="J163" s="675"/>
      <c r="K163" s="566"/>
      <c r="L163" s="566"/>
      <c r="M163" s="566"/>
      <c r="N163" s="566"/>
      <c r="O163" s="566"/>
      <c r="P163" s="566"/>
      <c r="Q163" s="566"/>
      <c r="R163" s="566"/>
      <c r="S163" s="566"/>
      <c r="T163" s="566"/>
      <c r="U163" s="566"/>
      <c r="V163" s="566"/>
      <c r="W163" s="566"/>
    </row>
    <row r="164" spans="1:23" s="155" customFormat="1" ht="14.4">
      <c r="A164" s="661"/>
      <c r="B164" s="194" t="s">
        <v>177</v>
      </c>
      <c r="C164" s="1987" t="s">
        <v>171</v>
      </c>
      <c r="D164" s="161">
        <v>3000</v>
      </c>
      <c r="E164" s="1443">
        <v>3000</v>
      </c>
      <c r="F164" s="1444">
        <v>3000</v>
      </c>
      <c r="G164" s="1696">
        <v>3000</v>
      </c>
      <c r="H164" s="1696"/>
      <c r="I164" s="1695">
        <f t="shared" si="52"/>
        <v>3000</v>
      </c>
      <c r="J164" s="675"/>
      <c r="K164" s="566"/>
      <c r="L164" s="566"/>
      <c r="M164" s="566"/>
      <c r="N164" s="566"/>
      <c r="O164" s="566"/>
      <c r="P164" s="566"/>
      <c r="Q164" s="566"/>
      <c r="R164" s="566"/>
      <c r="S164" s="566"/>
      <c r="T164" s="566"/>
      <c r="U164" s="566"/>
      <c r="V164" s="566"/>
      <c r="W164" s="566"/>
    </row>
    <row r="165" spans="1:23" s="155" customFormat="1" ht="14.4">
      <c r="A165" s="661"/>
      <c r="B165" s="194" t="s">
        <v>614</v>
      </c>
      <c r="C165" s="1987" t="s">
        <v>171</v>
      </c>
      <c r="D165" s="161">
        <v>2500000</v>
      </c>
      <c r="E165" s="1443">
        <v>2500000</v>
      </c>
      <c r="F165" s="1444">
        <v>2500000</v>
      </c>
      <c r="G165" s="1696">
        <v>2000000</v>
      </c>
      <c r="H165" s="1696"/>
      <c r="I165" s="1695">
        <f t="shared" si="52"/>
        <v>2000000</v>
      </c>
      <c r="J165" s="675"/>
      <c r="K165" s="566"/>
      <c r="L165" s="566"/>
      <c r="M165" s="566"/>
      <c r="N165" s="566"/>
      <c r="O165" s="566"/>
      <c r="P165" s="566"/>
      <c r="Q165" s="566"/>
      <c r="R165" s="566"/>
      <c r="S165" s="566"/>
      <c r="T165" s="566"/>
      <c r="U165" s="566"/>
      <c r="V165" s="566"/>
      <c r="W165" s="566"/>
    </row>
    <row r="166" spans="1:23" s="155" customFormat="1" ht="14.4">
      <c r="A166" s="661"/>
      <c r="B166" s="194" t="s">
        <v>621</v>
      </c>
      <c r="C166" s="1987" t="s">
        <v>171</v>
      </c>
      <c r="D166" s="161">
        <v>171545000</v>
      </c>
      <c r="E166" s="1443">
        <v>171545000</v>
      </c>
      <c r="F166" s="1444">
        <v>271600000</v>
      </c>
      <c r="G166" s="1696">
        <v>207300000</v>
      </c>
      <c r="H166" s="1696"/>
      <c r="I166" s="1695">
        <f t="shared" si="52"/>
        <v>207300000</v>
      </c>
      <c r="J166" s="675"/>
      <c r="K166" s="566"/>
      <c r="L166" s="566"/>
      <c r="M166" s="566"/>
      <c r="N166" s="566"/>
      <c r="O166" s="566"/>
      <c r="P166" s="566"/>
      <c r="Q166" s="566"/>
      <c r="R166" s="566"/>
      <c r="S166" s="566"/>
      <c r="T166" s="566"/>
      <c r="U166" s="566"/>
      <c r="V166" s="566"/>
      <c r="W166" s="566"/>
    </row>
    <row r="167" spans="1:23" s="200" customFormat="1" ht="28.8">
      <c r="A167" s="664"/>
      <c r="B167" s="203" t="s">
        <v>622</v>
      </c>
      <c r="C167" s="1988" t="s">
        <v>171</v>
      </c>
      <c r="D167" s="1947">
        <f t="shared" ref="D167:I167" si="53">SUM(D168:D179)</f>
        <v>7200000</v>
      </c>
      <c r="E167" s="1439">
        <f t="shared" si="53"/>
        <v>7200000</v>
      </c>
      <c r="F167" s="1440">
        <f t="shared" si="53"/>
        <v>3600000</v>
      </c>
      <c r="G167" s="1693">
        <f>SUM(G168:G179)</f>
        <v>3600000</v>
      </c>
      <c r="H167" s="1693">
        <f t="shared" si="53"/>
        <v>0</v>
      </c>
      <c r="I167" s="1693">
        <f t="shared" si="53"/>
        <v>3600000</v>
      </c>
      <c r="J167" s="671"/>
      <c r="K167" s="574"/>
      <c r="L167" s="574"/>
      <c r="M167" s="574"/>
      <c r="N167" s="574"/>
      <c r="O167" s="574"/>
      <c r="P167" s="574"/>
      <c r="Q167" s="574"/>
      <c r="R167" s="574"/>
      <c r="S167" s="574"/>
      <c r="T167" s="574"/>
      <c r="U167" s="574"/>
      <c r="V167" s="574"/>
      <c r="W167" s="574"/>
    </row>
    <row r="168" spans="1:23" s="155" customFormat="1" ht="14.4" hidden="1">
      <c r="A168" s="661"/>
      <c r="B168" s="205" t="s">
        <v>159</v>
      </c>
      <c r="C168" s="1989"/>
      <c r="D168" s="620"/>
      <c r="E168" s="1445"/>
      <c r="F168" s="1446"/>
      <c r="G168" s="1697"/>
      <c r="H168" s="1697"/>
      <c r="I168" s="1697"/>
      <c r="J168" s="675"/>
      <c r="K168" s="566"/>
      <c r="L168" s="566"/>
      <c r="M168" s="566"/>
      <c r="N168" s="566"/>
      <c r="O168" s="566"/>
      <c r="P168" s="566"/>
      <c r="Q168" s="566"/>
      <c r="R168" s="566"/>
      <c r="S168" s="566"/>
      <c r="T168" s="566"/>
      <c r="U168" s="566"/>
      <c r="V168" s="566"/>
      <c r="W168" s="566"/>
    </row>
    <row r="169" spans="1:23" s="155" customFormat="1" ht="14.4" hidden="1">
      <c r="A169" s="661"/>
      <c r="B169" s="205" t="s">
        <v>150</v>
      </c>
      <c r="C169" s="1989"/>
      <c r="D169" s="620"/>
      <c r="E169" s="1445"/>
      <c r="F169" s="1446"/>
      <c r="G169" s="1697"/>
      <c r="H169" s="1697"/>
      <c r="I169" s="1697"/>
      <c r="J169" s="675"/>
      <c r="K169" s="566"/>
      <c r="L169" s="566"/>
      <c r="M169" s="566"/>
      <c r="N169" s="566"/>
      <c r="O169" s="566"/>
      <c r="P169" s="566"/>
      <c r="Q169" s="566"/>
      <c r="R169" s="566"/>
      <c r="S169" s="566"/>
      <c r="T169" s="566"/>
      <c r="U169" s="566"/>
      <c r="V169" s="566"/>
      <c r="W169" s="566"/>
    </row>
    <row r="170" spans="1:23" s="155" customFormat="1" ht="14.4" hidden="1">
      <c r="A170" s="661"/>
      <c r="B170" s="205" t="s">
        <v>157</v>
      </c>
      <c r="C170" s="1989"/>
      <c r="D170" s="620"/>
      <c r="E170" s="1445"/>
      <c r="F170" s="1446"/>
      <c r="G170" s="1697"/>
      <c r="H170" s="1697"/>
      <c r="I170" s="1697"/>
      <c r="J170" s="675"/>
      <c r="K170" s="566"/>
      <c r="L170" s="566"/>
      <c r="M170" s="566"/>
      <c r="N170" s="566"/>
      <c r="O170" s="566"/>
      <c r="P170" s="566"/>
      <c r="Q170" s="566"/>
      <c r="R170" s="566"/>
      <c r="S170" s="566"/>
      <c r="T170" s="566"/>
      <c r="U170" s="566"/>
      <c r="V170" s="566"/>
      <c r="W170" s="566"/>
    </row>
    <row r="171" spans="1:23" s="155" customFormat="1" ht="14.4" hidden="1">
      <c r="A171" s="661"/>
      <c r="B171" s="205" t="s">
        <v>158</v>
      </c>
      <c r="C171" s="1989"/>
      <c r="D171" s="620"/>
      <c r="E171" s="1445"/>
      <c r="F171" s="1446"/>
      <c r="G171" s="1697"/>
      <c r="H171" s="1697"/>
      <c r="I171" s="1697"/>
      <c r="J171" s="675"/>
      <c r="K171" s="566"/>
      <c r="L171" s="566"/>
      <c r="M171" s="566"/>
      <c r="N171" s="566"/>
      <c r="O171" s="566"/>
      <c r="P171" s="566"/>
      <c r="Q171" s="566"/>
      <c r="R171" s="566"/>
      <c r="S171" s="566"/>
      <c r="T171" s="566"/>
      <c r="U171" s="566"/>
      <c r="V171" s="566"/>
      <c r="W171" s="566"/>
    </row>
    <row r="172" spans="1:23" s="155" customFormat="1" ht="14.4">
      <c r="A172" s="661"/>
      <c r="B172" s="205" t="s">
        <v>165</v>
      </c>
      <c r="C172" s="1989"/>
      <c r="D172" s="620"/>
      <c r="E172" s="1443"/>
      <c r="F172" s="1444">
        <v>300000</v>
      </c>
      <c r="G172" s="1696">
        <v>300000</v>
      </c>
      <c r="H172" s="1696"/>
      <c r="I172" s="1696">
        <f>G172+H172</f>
        <v>300000</v>
      </c>
      <c r="J172" s="675"/>
      <c r="K172" s="566"/>
      <c r="L172" s="566"/>
      <c r="M172" s="566"/>
      <c r="N172" s="566"/>
      <c r="O172" s="566"/>
      <c r="P172" s="566"/>
      <c r="Q172" s="566"/>
      <c r="R172" s="566"/>
      <c r="S172" s="566"/>
      <c r="T172" s="566"/>
      <c r="U172" s="566"/>
      <c r="V172" s="566"/>
      <c r="W172" s="566"/>
    </row>
    <row r="173" spans="1:23" s="155" customFormat="1" ht="14.4" hidden="1">
      <c r="A173" s="661"/>
      <c r="B173" s="205" t="s">
        <v>178</v>
      </c>
      <c r="C173" s="1989"/>
      <c r="D173" s="620"/>
      <c r="E173" s="1445"/>
      <c r="F173" s="1446"/>
      <c r="G173" s="1697"/>
      <c r="H173" s="1697"/>
      <c r="I173" s="1696">
        <f t="shared" ref="I173:I178" si="54">G173+H173</f>
        <v>0</v>
      </c>
      <c r="J173" s="675"/>
      <c r="K173" s="566"/>
      <c r="L173" s="566"/>
      <c r="M173" s="566"/>
      <c r="N173" s="566"/>
      <c r="O173" s="566"/>
      <c r="P173" s="566"/>
      <c r="Q173" s="566"/>
      <c r="R173" s="566"/>
      <c r="S173" s="566"/>
      <c r="T173" s="566"/>
      <c r="U173" s="566"/>
      <c r="V173" s="566"/>
      <c r="W173" s="566"/>
    </row>
    <row r="174" spans="1:23" s="155" customFormat="1" ht="14.4" hidden="1">
      <c r="A174" s="661"/>
      <c r="B174" s="205" t="s">
        <v>163</v>
      </c>
      <c r="C174" s="1989"/>
      <c r="D174" s="620"/>
      <c r="E174" s="1445"/>
      <c r="F174" s="1446"/>
      <c r="G174" s="1697"/>
      <c r="H174" s="1697"/>
      <c r="I174" s="1696">
        <f t="shared" si="54"/>
        <v>0</v>
      </c>
      <c r="J174" s="675"/>
      <c r="K174" s="566"/>
      <c r="L174" s="566"/>
      <c r="M174" s="566"/>
      <c r="N174" s="566"/>
      <c r="O174" s="566"/>
      <c r="P174" s="566"/>
      <c r="Q174" s="566"/>
      <c r="R174" s="566"/>
      <c r="S174" s="566"/>
      <c r="T174" s="566"/>
      <c r="U174" s="566"/>
      <c r="V174" s="566"/>
      <c r="W174" s="566"/>
    </row>
    <row r="175" spans="1:23" s="155" customFormat="1" ht="14.4" hidden="1">
      <c r="A175" s="661"/>
      <c r="B175" s="205" t="s">
        <v>161</v>
      </c>
      <c r="C175" s="1989"/>
      <c r="D175" s="620"/>
      <c r="E175" s="1445"/>
      <c r="F175" s="1446"/>
      <c r="G175" s="1697"/>
      <c r="H175" s="1697"/>
      <c r="I175" s="1696">
        <f t="shared" si="54"/>
        <v>0</v>
      </c>
      <c r="J175" s="675"/>
      <c r="K175" s="566"/>
      <c r="L175" s="566"/>
      <c r="M175" s="566"/>
      <c r="N175" s="566"/>
      <c r="O175" s="566"/>
      <c r="P175" s="566"/>
      <c r="Q175" s="566"/>
      <c r="R175" s="566"/>
      <c r="S175" s="566"/>
      <c r="T175" s="566"/>
      <c r="U175" s="566"/>
      <c r="V175" s="566"/>
      <c r="W175" s="566"/>
    </row>
    <row r="176" spans="1:23" s="155" customFormat="1" ht="14.4" hidden="1">
      <c r="A176" s="661"/>
      <c r="B176" s="205" t="s">
        <v>167</v>
      </c>
      <c r="C176" s="1989"/>
      <c r="D176" s="620"/>
      <c r="E176" s="1445"/>
      <c r="F176" s="1446"/>
      <c r="G176" s="1697"/>
      <c r="H176" s="1697"/>
      <c r="I176" s="1696">
        <f t="shared" si="54"/>
        <v>0</v>
      </c>
      <c r="J176" s="675"/>
      <c r="K176" s="566"/>
      <c r="L176" s="566"/>
      <c r="M176" s="566"/>
      <c r="N176" s="566"/>
      <c r="O176" s="566"/>
      <c r="P176" s="566"/>
      <c r="Q176" s="566"/>
      <c r="R176" s="566"/>
      <c r="S176" s="566"/>
      <c r="T176" s="566"/>
      <c r="U176" s="566"/>
      <c r="V176" s="566"/>
      <c r="W176" s="566"/>
    </row>
    <row r="177" spans="1:23" s="155" customFormat="1" ht="14.4">
      <c r="A177" s="661"/>
      <c r="B177" s="205" t="s">
        <v>179</v>
      </c>
      <c r="C177" s="1989"/>
      <c r="D177" s="1946">
        <v>1500000</v>
      </c>
      <c r="E177" s="1443">
        <v>1500000</v>
      </c>
      <c r="F177" s="1444">
        <v>1500000</v>
      </c>
      <c r="G177" s="1696">
        <v>1500000</v>
      </c>
      <c r="H177" s="1696"/>
      <c r="I177" s="1696">
        <f t="shared" si="54"/>
        <v>1500000</v>
      </c>
      <c r="J177" s="675"/>
      <c r="K177" s="566"/>
      <c r="L177" s="566"/>
      <c r="M177" s="566"/>
      <c r="N177" s="566"/>
      <c r="O177" s="566"/>
      <c r="P177" s="566"/>
      <c r="Q177" s="566"/>
      <c r="R177" s="566"/>
      <c r="S177" s="566"/>
      <c r="T177" s="566"/>
      <c r="U177" s="566"/>
      <c r="V177" s="566"/>
      <c r="W177" s="566"/>
    </row>
    <row r="178" spans="1:23" s="155" customFormat="1" ht="14.4">
      <c r="A178" s="661"/>
      <c r="B178" s="953" t="s">
        <v>1008</v>
      </c>
      <c r="C178" s="1989"/>
      <c r="D178" s="1946">
        <v>1200000</v>
      </c>
      <c r="E178" s="1443">
        <v>1200000</v>
      </c>
      <c r="F178" s="1444">
        <v>1800000</v>
      </c>
      <c r="G178" s="1696">
        <v>1800000</v>
      </c>
      <c r="H178" s="1696"/>
      <c r="I178" s="1696">
        <f t="shared" si="54"/>
        <v>1800000</v>
      </c>
      <c r="J178" s="675"/>
      <c r="K178" s="566"/>
      <c r="L178" s="566"/>
      <c r="M178" s="566"/>
      <c r="N178" s="566"/>
      <c r="O178" s="566"/>
      <c r="P178" s="566"/>
      <c r="Q178" s="566"/>
      <c r="R178" s="566"/>
      <c r="S178" s="566"/>
      <c r="T178" s="566"/>
      <c r="U178" s="566"/>
      <c r="V178" s="566"/>
      <c r="W178" s="566"/>
    </row>
    <row r="179" spans="1:23" s="155" customFormat="1" ht="14.4">
      <c r="A179" s="661"/>
      <c r="B179" s="205" t="s">
        <v>181</v>
      </c>
      <c r="C179" s="1989"/>
      <c r="D179" s="1946">
        <v>4500000</v>
      </c>
      <c r="E179" s="1443">
        <v>4500000</v>
      </c>
      <c r="F179" s="1446"/>
      <c r="G179" s="1697"/>
      <c r="H179" s="1697"/>
      <c r="I179" s="1697"/>
      <c r="J179" s="675"/>
      <c r="K179" s="566"/>
      <c r="L179" s="566"/>
      <c r="M179" s="566"/>
      <c r="N179" s="566"/>
      <c r="O179" s="566"/>
      <c r="P179" s="566"/>
      <c r="Q179" s="566"/>
      <c r="R179" s="566"/>
      <c r="S179" s="566"/>
      <c r="T179" s="566"/>
      <c r="U179" s="566"/>
      <c r="V179" s="566"/>
      <c r="W179" s="566"/>
    </row>
    <row r="180" spans="1:23" s="155" customFormat="1" ht="14.4" hidden="1">
      <c r="A180" s="661"/>
      <c r="B180" s="208" t="s">
        <v>182</v>
      </c>
      <c r="C180" s="1989"/>
      <c r="D180" s="620"/>
      <c r="E180" s="1445"/>
      <c r="F180" s="1446"/>
      <c r="G180" s="1697"/>
      <c r="H180" s="1697"/>
      <c r="I180" s="1697"/>
      <c r="J180" s="675"/>
      <c r="K180" s="566"/>
      <c r="L180" s="566"/>
      <c r="M180" s="566"/>
      <c r="N180" s="566"/>
      <c r="O180" s="566"/>
      <c r="P180" s="566"/>
      <c r="Q180" s="566"/>
      <c r="R180" s="566"/>
      <c r="S180" s="566"/>
      <c r="T180" s="566"/>
      <c r="U180" s="566"/>
      <c r="V180" s="566"/>
      <c r="W180" s="566"/>
    </row>
    <row r="181" spans="1:23" s="155" customFormat="1" ht="14.4">
      <c r="A181" s="661"/>
      <c r="B181" s="665"/>
      <c r="C181" s="1989"/>
      <c r="D181" s="620"/>
      <c r="E181" s="1447"/>
      <c r="F181" s="1448"/>
      <c r="G181" s="1699"/>
      <c r="H181" s="1699"/>
      <c r="I181" s="1699"/>
      <c r="J181" s="675"/>
      <c r="K181" s="566"/>
      <c r="L181" s="566"/>
      <c r="M181" s="566"/>
      <c r="N181" s="566"/>
      <c r="O181" s="566"/>
      <c r="P181" s="566"/>
      <c r="Q181" s="566"/>
      <c r="R181" s="566"/>
      <c r="S181" s="566"/>
      <c r="T181" s="566"/>
      <c r="U181" s="566"/>
      <c r="V181" s="566"/>
      <c r="W181" s="566"/>
    </row>
    <row r="182" spans="1:23" s="179" customFormat="1">
      <c r="A182" s="168" t="s">
        <v>18</v>
      </c>
      <c r="B182" s="177" t="s">
        <v>183</v>
      </c>
      <c r="C182" s="1991" t="s">
        <v>81</v>
      </c>
      <c r="D182" s="1948">
        <f t="shared" ref="D182:I182" si="55">SUM(D183,D198)</f>
        <v>5466000</v>
      </c>
      <c r="E182" s="1417">
        <f t="shared" si="55"/>
        <v>5366000</v>
      </c>
      <c r="F182" s="1418">
        <f t="shared" si="55"/>
        <v>6282000</v>
      </c>
      <c r="G182" s="1679">
        <f t="shared" si="55"/>
        <v>6282000</v>
      </c>
      <c r="H182" s="1679">
        <f t="shared" si="55"/>
        <v>0</v>
      </c>
      <c r="I182" s="1679">
        <f t="shared" si="55"/>
        <v>6282000</v>
      </c>
      <c r="J182" s="671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</row>
    <row r="183" spans="1:23" s="179" customFormat="1">
      <c r="A183" s="197" t="s">
        <v>20</v>
      </c>
      <c r="B183" s="201" t="s">
        <v>184</v>
      </c>
      <c r="C183" s="1988" t="s">
        <v>185</v>
      </c>
      <c r="D183" s="1944">
        <f t="shared" ref="D183:I183" si="56">SUM(D184:D185,D196)</f>
        <v>1750000</v>
      </c>
      <c r="E183" s="1441">
        <f t="shared" si="56"/>
        <v>1650000</v>
      </c>
      <c r="F183" s="1442">
        <f t="shared" si="56"/>
        <v>2500000</v>
      </c>
      <c r="G183" s="1694">
        <f t="shared" si="56"/>
        <v>2500000</v>
      </c>
      <c r="H183" s="1694">
        <f t="shared" si="56"/>
        <v>0</v>
      </c>
      <c r="I183" s="1694">
        <f t="shared" si="56"/>
        <v>2500000</v>
      </c>
      <c r="J183" s="671"/>
      <c r="K183" s="569"/>
      <c r="L183" s="569"/>
      <c r="M183" s="569"/>
      <c r="N183" s="569"/>
      <c r="O183" s="569"/>
      <c r="P183" s="569"/>
      <c r="Q183" s="569"/>
      <c r="R183" s="569"/>
      <c r="S183" s="569"/>
      <c r="T183" s="569"/>
      <c r="U183" s="569"/>
      <c r="V183" s="569"/>
      <c r="W183" s="569"/>
    </row>
    <row r="184" spans="1:23" s="210" customFormat="1" ht="43.2">
      <c r="A184" s="666"/>
      <c r="B184" s="207" t="s">
        <v>623</v>
      </c>
      <c r="C184" s="1992" t="s">
        <v>185</v>
      </c>
      <c r="D184" s="1945">
        <v>1750000</v>
      </c>
      <c r="E184" s="1443">
        <v>1650000</v>
      </c>
      <c r="F184" s="1444">
        <v>2500000</v>
      </c>
      <c r="G184" s="1696">
        <v>2500000</v>
      </c>
      <c r="H184" s="1696"/>
      <c r="I184" s="1696">
        <f>H184+G184</f>
        <v>2500000</v>
      </c>
      <c r="J184" s="675"/>
      <c r="K184" s="576"/>
      <c r="L184" s="576"/>
      <c r="M184" s="576"/>
      <c r="N184" s="576"/>
      <c r="O184" s="576"/>
      <c r="P184" s="576"/>
      <c r="Q184" s="576"/>
      <c r="R184" s="576"/>
      <c r="S184" s="576"/>
      <c r="T184" s="576"/>
      <c r="U184" s="576"/>
      <c r="V184" s="576"/>
      <c r="W184" s="576"/>
    </row>
    <row r="185" spans="1:23" s="204" customFormat="1" ht="28.8">
      <c r="A185" s="662"/>
      <c r="B185" s="211" t="s">
        <v>622</v>
      </c>
      <c r="C185" s="1988" t="s">
        <v>185</v>
      </c>
      <c r="D185" s="1944">
        <f>SUM(D186:D194)</f>
        <v>0</v>
      </c>
      <c r="E185" s="1441">
        <f>SUM(E186:E194)</f>
        <v>0</v>
      </c>
      <c r="F185" s="1442">
        <f>SUM(F186:F194)</f>
        <v>0</v>
      </c>
      <c r="G185" s="1694">
        <f>SUM(G186:G194)</f>
        <v>0</v>
      </c>
      <c r="H185" s="1694">
        <f>SUM(H186:H195)</f>
        <v>0</v>
      </c>
      <c r="I185" s="1694">
        <f>SUM(I186:I195)</f>
        <v>0</v>
      </c>
      <c r="J185" s="671"/>
      <c r="K185" s="575"/>
      <c r="L185" s="575"/>
      <c r="M185" s="575"/>
      <c r="N185" s="575"/>
      <c r="O185" s="575"/>
      <c r="P185" s="575"/>
      <c r="Q185" s="575"/>
      <c r="R185" s="575"/>
      <c r="S185" s="575"/>
      <c r="T185" s="575"/>
      <c r="U185" s="575"/>
      <c r="V185" s="575"/>
      <c r="W185" s="575"/>
    </row>
    <row r="186" spans="1:23" hidden="1">
      <c r="A186" s="631"/>
      <c r="B186" s="205" t="s">
        <v>155</v>
      </c>
      <c r="C186" s="1989"/>
      <c r="D186" s="620"/>
      <c r="E186" s="1449"/>
      <c r="F186" s="1450"/>
      <c r="G186" s="1700"/>
      <c r="H186" s="1700"/>
      <c r="I186" s="1700"/>
      <c r="J186" s="675"/>
      <c r="K186" s="550"/>
      <c r="L186" s="550"/>
      <c r="M186" s="550"/>
      <c r="N186" s="550"/>
      <c r="O186" s="550"/>
      <c r="P186" s="550"/>
      <c r="Q186" s="550"/>
      <c r="R186" s="550"/>
      <c r="S186" s="550"/>
      <c r="T186" s="550"/>
      <c r="U186" s="550"/>
      <c r="V186" s="550"/>
      <c r="W186" s="550"/>
    </row>
    <row r="187" spans="1:23" hidden="1">
      <c r="A187" s="631"/>
      <c r="B187" s="205" t="s">
        <v>153</v>
      </c>
      <c r="C187" s="1989"/>
      <c r="D187" s="620"/>
      <c r="E187" s="1449"/>
      <c r="F187" s="1450"/>
      <c r="G187" s="1700"/>
      <c r="H187" s="1700"/>
      <c r="I187" s="1700"/>
      <c r="J187" s="675"/>
      <c r="K187" s="550"/>
      <c r="L187" s="550"/>
      <c r="M187" s="550"/>
      <c r="N187" s="550"/>
      <c r="O187" s="550"/>
      <c r="P187" s="550"/>
      <c r="Q187" s="550"/>
      <c r="R187" s="550"/>
      <c r="S187" s="550"/>
      <c r="T187" s="550"/>
      <c r="U187" s="550"/>
      <c r="V187" s="550"/>
      <c r="W187" s="550"/>
    </row>
    <row r="188" spans="1:23" hidden="1">
      <c r="A188" s="631"/>
      <c r="B188" s="205" t="s">
        <v>154</v>
      </c>
      <c r="C188" s="1989"/>
      <c r="D188" s="620"/>
      <c r="E188" s="1449"/>
      <c r="F188" s="1450"/>
      <c r="G188" s="1700"/>
      <c r="H188" s="1700"/>
      <c r="I188" s="1700"/>
      <c r="J188" s="675"/>
      <c r="K188" s="550"/>
      <c r="L188" s="550"/>
      <c r="M188" s="550"/>
      <c r="N188" s="550"/>
      <c r="O188" s="550"/>
      <c r="P188" s="550"/>
      <c r="Q188" s="550"/>
      <c r="R188" s="550"/>
      <c r="S188" s="550"/>
      <c r="T188" s="550"/>
      <c r="U188" s="550"/>
      <c r="V188" s="550"/>
      <c r="W188" s="550"/>
    </row>
    <row r="189" spans="1:23" hidden="1">
      <c r="A189" s="631"/>
      <c r="B189" s="205" t="s">
        <v>186</v>
      </c>
      <c r="C189" s="1989"/>
      <c r="D189" s="620"/>
      <c r="E189" s="1449"/>
      <c r="F189" s="1450"/>
      <c r="G189" s="1700"/>
      <c r="H189" s="1700"/>
      <c r="I189" s="1700"/>
      <c r="J189" s="675"/>
      <c r="K189" s="550"/>
      <c r="L189" s="550"/>
      <c r="M189" s="550"/>
      <c r="N189" s="550"/>
      <c r="O189" s="550"/>
      <c r="P189" s="550"/>
      <c r="Q189" s="550"/>
      <c r="R189" s="550"/>
      <c r="S189" s="550"/>
      <c r="T189" s="550"/>
      <c r="U189" s="550"/>
      <c r="V189" s="550"/>
      <c r="W189" s="550"/>
    </row>
    <row r="190" spans="1:23" hidden="1">
      <c r="A190" s="631"/>
      <c r="B190" s="205" t="s">
        <v>156</v>
      </c>
      <c r="C190" s="1989"/>
      <c r="D190" s="620"/>
      <c r="E190" s="1449"/>
      <c r="F190" s="1450"/>
      <c r="G190" s="1700"/>
      <c r="H190" s="1700"/>
      <c r="I190" s="1700"/>
      <c r="J190" s="675"/>
      <c r="K190" s="550"/>
      <c r="L190" s="550"/>
      <c r="M190" s="550"/>
      <c r="N190" s="550"/>
      <c r="O190" s="550"/>
      <c r="P190" s="550"/>
      <c r="Q190" s="550"/>
      <c r="R190" s="550"/>
      <c r="S190" s="550"/>
      <c r="T190" s="550"/>
      <c r="U190" s="550"/>
      <c r="V190" s="550"/>
      <c r="W190" s="550"/>
    </row>
    <row r="191" spans="1:23" hidden="1">
      <c r="A191" s="631"/>
      <c r="B191" s="205" t="s">
        <v>165</v>
      </c>
      <c r="C191" s="1989"/>
      <c r="D191" s="620"/>
      <c r="E191" s="1449"/>
      <c r="F191" s="1450"/>
      <c r="G191" s="1700"/>
      <c r="H191" s="1700"/>
      <c r="I191" s="1700"/>
      <c r="J191" s="675"/>
      <c r="K191" s="550"/>
      <c r="L191" s="550"/>
      <c r="M191" s="550"/>
      <c r="N191" s="550"/>
      <c r="O191" s="550"/>
      <c r="P191" s="550"/>
      <c r="Q191" s="550"/>
      <c r="R191" s="550"/>
      <c r="S191" s="550"/>
      <c r="T191" s="550"/>
      <c r="U191" s="550"/>
      <c r="V191" s="550"/>
      <c r="W191" s="550"/>
    </row>
    <row r="192" spans="1:23" hidden="1">
      <c r="A192" s="631"/>
      <c r="B192" s="205" t="s">
        <v>160</v>
      </c>
      <c r="C192" s="1989"/>
      <c r="D192" s="620"/>
      <c r="E192" s="1449"/>
      <c r="F192" s="1450"/>
      <c r="G192" s="1700"/>
      <c r="H192" s="1700"/>
      <c r="I192" s="1700"/>
      <c r="J192" s="675"/>
      <c r="K192" s="550"/>
      <c r="L192" s="550"/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0"/>
    </row>
    <row r="193" spans="1:23" hidden="1">
      <c r="A193" s="631"/>
      <c r="B193" s="205" t="s">
        <v>187</v>
      </c>
      <c r="C193" s="1989"/>
      <c r="D193" s="620"/>
      <c r="E193" s="1449"/>
      <c r="F193" s="1450"/>
      <c r="G193" s="1700"/>
      <c r="H193" s="1700"/>
      <c r="I193" s="1700"/>
      <c r="J193" s="675"/>
      <c r="K193" s="550"/>
      <c r="L193" s="550"/>
      <c r="M193" s="550"/>
      <c r="N193" s="550"/>
      <c r="O193" s="550"/>
      <c r="P193" s="550"/>
      <c r="Q193" s="550"/>
      <c r="R193" s="550"/>
      <c r="S193" s="550"/>
      <c r="T193" s="550"/>
      <c r="U193" s="550"/>
      <c r="V193" s="550"/>
      <c r="W193" s="550"/>
    </row>
    <row r="194" spans="1:23" hidden="1">
      <c r="A194" s="631"/>
      <c r="B194" s="205" t="s">
        <v>188</v>
      </c>
      <c r="C194" s="1989"/>
      <c r="D194" s="620"/>
      <c r="E194" s="1449"/>
      <c r="F194" s="1450"/>
      <c r="G194" s="1700"/>
      <c r="H194" s="1700"/>
      <c r="I194" s="1700"/>
      <c r="J194" s="675"/>
      <c r="K194" s="550"/>
      <c r="L194" s="550"/>
      <c r="M194" s="550"/>
      <c r="N194" s="550"/>
      <c r="O194" s="550"/>
      <c r="P194" s="550"/>
      <c r="Q194" s="550"/>
      <c r="R194" s="550"/>
      <c r="S194" s="550"/>
      <c r="T194" s="550"/>
      <c r="U194" s="550"/>
      <c r="V194" s="550"/>
      <c r="W194" s="550"/>
    </row>
    <row r="195" spans="1:23" hidden="1">
      <c r="A195" s="631"/>
      <c r="B195" s="205" t="s">
        <v>181</v>
      </c>
      <c r="C195" s="1989"/>
      <c r="D195" s="620"/>
      <c r="E195" s="1449"/>
      <c r="F195" s="1450"/>
      <c r="G195" s="1700"/>
      <c r="H195" s="1700"/>
      <c r="I195" s="1700"/>
      <c r="J195" s="675"/>
      <c r="K195" s="550"/>
      <c r="L195" s="550"/>
      <c r="M195" s="550"/>
      <c r="N195" s="550"/>
      <c r="O195" s="550"/>
      <c r="P195" s="550"/>
      <c r="Q195" s="550"/>
      <c r="R195" s="550"/>
      <c r="S195" s="550"/>
      <c r="T195" s="550"/>
      <c r="U195" s="550"/>
      <c r="V195" s="550"/>
      <c r="W195" s="550"/>
    </row>
    <row r="196" spans="1:23" hidden="1">
      <c r="A196" s="631"/>
      <c r="B196" s="212" t="s">
        <v>624</v>
      </c>
      <c r="C196" s="1989"/>
      <c r="D196" s="620"/>
      <c r="E196" s="1449"/>
      <c r="F196" s="1450"/>
      <c r="G196" s="1700"/>
      <c r="H196" s="1700"/>
      <c r="I196" s="1700"/>
      <c r="J196" s="675"/>
      <c r="K196" s="550"/>
      <c r="L196" s="550"/>
      <c r="M196" s="550"/>
      <c r="N196" s="550"/>
      <c r="O196" s="550"/>
      <c r="P196" s="550"/>
      <c r="Q196" s="550"/>
      <c r="R196" s="550"/>
      <c r="S196" s="550"/>
      <c r="T196" s="550"/>
      <c r="U196" s="550"/>
      <c r="V196" s="550"/>
      <c r="W196" s="550"/>
    </row>
    <row r="197" spans="1:23">
      <c r="A197" s="631"/>
      <c r="B197" s="667"/>
      <c r="C197" s="1989"/>
      <c r="D197" s="620"/>
      <c r="E197" s="1451"/>
      <c r="F197" s="1452"/>
      <c r="G197" s="1701"/>
      <c r="H197" s="1701"/>
      <c r="I197" s="1701">
        <f>G197+H197</f>
        <v>0</v>
      </c>
      <c r="J197" s="675"/>
      <c r="K197" s="550"/>
      <c r="L197" s="550"/>
      <c r="M197" s="550"/>
      <c r="N197" s="550"/>
      <c r="O197" s="550"/>
      <c r="P197" s="550"/>
      <c r="Q197" s="550"/>
      <c r="R197" s="550"/>
      <c r="S197" s="550"/>
      <c r="T197" s="550"/>
      <c r="U197" s="550"/>
      <c r="V197" s="550"/>
      <c r="W197" s="550"/>
    </row>
    <row r="198" spans="1:23" s="179" customFormat="1">
      <c r="A198" s="197" t="s">
        <v>189</v>
      </c>
      <c r="B198" s="201" t="s">
        <v>190</v>
      </c>
      <c r="C198" s="1988" t="s">
        <v>191</v>
      </c>
      <c r="D198" s="1949">
        <f t="shared" ref="D198:I198" si="57">SUM(D199:D199)</f>
        <v>3716000</v>
      </c>
      <c r="E198" s="1453">
        <f t="shared" si="57"/>
        <v>3716000</v>
      </c>
      <c r="F198" s="1454">
        <f t="shared" si="57"/>
        <v>3782000</v>
      </c>
      <c r="G198" s="1702">
        <f t="shared" si="57"/>
        <v>3782000</v>
      </c>
      <c r="H198" s="1702">
        <f t="shared" si="57"/>
        <v>0</v>
      </c>
      <c r="I198" s="1702">
        <f t="shared" si="57"/>
        <v>3782000</v>
      </c>
      <c r="J198" s="671"/>
      <c r="K198" s="569"/>
      <c r="L198" s="569"/>
      <c r="M198" s="569"/>
      <c r="N198" s="569"/>
      <c r="O198" s="569"/>
      <c r="P198" s="569"/>
      <c r="Q198" s="569"/>
      <c r="R198" s="569"/>
      <c r="S198" s="569"/>
      <c r="T198" s="569"/>
      <c r="U198" s="569"/>
      <c r="V198" s="569"/>
      <c r="W198" s="569"/>
    </row>
    <row r="199" spans="1:23" s="183" customFormat="1">
      <c r="A199" s="628"/>
      <c r="B199" s="212" t="s">
        <v>192</v>
      </c>
      <c r="C199" s="1987" t="s">
        <v>191</v>
      </c>
      <c r="D199" s="1945">
        <v>3716000</v>
      </c>
      <c r="E199" s="1443">
        <v>3716000</v>
      </c>
      <c r="F199" s="1444">
        <v>3782000</v>
      </c>
      <c r="G199" s="1695">
        <v>3782000</v>
      </c>
      <c r="H199" s="1695"/>
      <c r="I199" s="1695">
        <f>H199+G199</f>
        <v>3782000</v>
      </c>
      <c r="J199" s="675"/>
      <c r="K199" s="570"/>
      <c r="L199" s="570"/>
      <c r="M199" s="570"/>
      <c r="N199" s="570"/>
      <c r="O199" s="570"/>
      <c r="P199" s="570"/>
      <c r="Q199" s="570"/>
      <c r="R199" s="570"/>
      <c r="S199" s="570"/>
      <c r="T199" s="570"/>
      <c r="U199" s="570"/>
      <c r="V199" s="570"/>
      <c r="W199" s="570"/>
    </row>
    <row r="200" spans="1:23">
      <c r="A200" s="631"/>
      <c r="B200" s="668"/>
      <c r="C200" s="1989"/>
      <c r="D200" s="620"/>
      <c r="E200" s="1451"/>
      <c r="F200" s="1452"/>
      <c r="G200" s="1701"/>
      <c r="H200" s="1701"/>
      <c r="I200" s="1701"/>
      <c r="J200" s="675"/>
      <c r="K200" s="550"/>
      <c r="L200" s="550"/>
      <c r="M200" s="550"/>
      <c r="N200" s="550"/>
      <c r="O200" s="550"/>
      <c r="P200" s="550"/>
      <c r="Q200" s="550"/>
      <c r="R200" s="550"/>
      <c r="S200" s="550"/>
      <c r="T200" s="550"/>
      <c r="U200" s="550"/>
      <c r="V200" s="550"/>
      <c r="W200" s="550"/>
    </row>
    <row r="201" spans="1:23" s="215" customFormat="1">
      <c r="A201" s="213" t="s">
        <v>22</v>
      </c>
      <c r="B201" s="214" t="s">
        <v>193</v>
      </c>
      <c r="C201" s="1993" t="s">
        <v>81</v>
      </c>
      <c r="D201" s="1950">
        <f>SUM(D202)</f>
        <v>40800000</v>
      </c>
      <c r="E201" s="1455">
        <f>SUM(E202)</f>
        <v>28284000</v>
      </c>
      <c r="F201" s="1456">
        <f>SUM(F202)</f>
        <v>17000000</v>
      </c>
      <c r="G201" s="1703">
        <f>SUM(G202,G205:G207,G208,G209,G220:G221)</f>
        <v>348000</v>
      </c>
      <c r="H201" s="1703">
        <f>SUM(H202,H205:H207,H208,H209,H220:H221)</f>
        <v>0</v>
      </c>
      <c r="I201" s="1703">
        <f>SUM(I202,I205:I207,I208,I209,I220:I221)</f>
        <v>348000</v>
      </c>
      <c r="J201" s="671"/>
      <c r="K201" s="577"/>
      <c r="L201" s="577"/>
      <c r="M201" s="577"/>
      <c r="N201" s="577"/>
      <c r="O201" s="577"/>
      <c r="P201" s="577"/>
      <c r="Q201" s="577"/>
      <c r="R201" s="577"/>
      <c r="S201" s="577"/>
      <c r="T201" s="577"/>
      <c r="U201" s="577"/>
      <c r="V201" s="577"/>
      <c r="W201" s="577"/>
    </row>
    <row r="202" spans="1:23" s="217" customFormat="1" ht="14.4">
      <c r="A202" s="669"/>
      <c r="B202" s="216" t="s">
        <v>142</v>
      </c>
      <c r="C202" s="1994" t="s">
        <v>81</v>
      </c>
      <c r="D202" s="1951">
        <f t="shared" ref="D202:I202" si="58">SUM(D203:D204)</f>
        <v>40800000</v>
      </c>
      <c r="E202" s="1457">
        <f t="shared" si="58"/>
        <v>28284000</v>
      </c>
      <c r="F202" s="1458">
        <f t="shared" si="58"/>
        <v>17000000</v>
      </c>
      <c r="G202" s="1704">
        <f t="shared" si="58"/>
        <v>0</v>
      </c>
      <c r="H202" s="1704">
        <f t="shared" si="58"/>
        <v>0</v>
      </c>
      <c r="I202" s="1704">
        <f t="shared" si="58"/>
        <v>0</v>
      </c>
      <c r="J202" s="671"/>
      <c r="K202" s="578"/>
      <c r="L202" s="578"/>
      <c r="M202" s="578"/>
      <c r="N202" s="578"/>
      <c r="O202" s="578"/>
      <c r="P202" s="578"/>
      <c r="Q202" s="578"/>
      <c r="R202" s="578"/>
      <c r="S202" s="578"/>
      <c r="T202" s="578"/>
      <c r="U202" s="578"/>
      <c r="V202" s="578"/>
      <c r="W202" s="578"/>
    </row>
    <row r="203" spans="1:23" s="142" customFormat="1">
      <c r="A203" s="661"/>
      <c r="B203" s="165" t="s">
        <v>194</v>
      </c>
      <c r="C203" s="1987" t="s">
        <v>195</v>
      </c>
      <c r="D203" s="1945">
        <v>40800000</v>
      </c>
      <c r="E203" s="1443">
        <v>28284000</v>
      </c>
      <c r="F203" s="1444">
        <v>17000000</v>
      </c>
      <c r="G203" s="1705"/>
      <c r="H203" s="1705"/>
      <c r="I203" s="1705">
        <f>G203+H203</f>
        <v>0</v>
      </c>
      <c r="J203" s="675"/>
      <c r="K203" s="557"/>
      <c r="L203" s="557"/>
      <c r="M203" s="557"/>
      <c r="N203" s="557"/>
      <c r="O203" s="557"/>
      <c r="P203" s="557"/>
      <c r="Q203" s="557"/>
      <c r="R203" s="557"/>
      <c r="S203" s="557"/>
      <c r="T203" s="557"/>
      <c r="U203" s="557"/>
      <c r="V203" s="557"/>
      <c r="W203" s="557"/>
    </row>
    <row r="204" spans="1:23" s="142" customFormat="1" ht="15.75" customHeight="1">
      <c r="A204" s="661"/>
      <c r="B204" s="165" t="s">
        <v>196</v>
      </c>
      <c r="C204" s="1987" t="s">
        <v>197</v>
      </c>
      <c r="D204" s="161"/>
      <c r="E204" s="1443">
        <v>0</v>
      </c>
      <c r="F204" s="2041">
        <v>0</v>
      </c>
      <c r="G204" s="2026"/>
      <c r="H204" s="2026">
        <v>0</v>
      </c>
      <c r="I204" s="2026">
        <f>+G204+H204</f>
        <v>0</v>
      </c>
      <c r="J204" s="675"/>
      <c r="K204" s="557"/>
      <c r="L204" s="557"/>
      <c r="M204" s="557"/>
      <c r="N204" s="557"/>
      <c r="O204" s="557"/>
      <c r="P204" s="557"/>
      <c r="Q204" s="557"/>
      <c r="R204" s="557"/>
      <c r="S204" s="557"/>
      <c r="T204" s="557"/>
      <c r="U204" s="557"/>
      <c r="V204" s="557"/>
      <c r="W204" s="557"/>
    </row>
    <row r="205" spans="1:23" s="142" customFormat="1" ht="15.75" customHeight="1">
      <c r="A205" s="2037"/>
      <c r="B205" s="2040" t="s">
        <v>452</v>
      </c>
      <c r="C205" s="1987" t="s">
        <v>453</v>
      </c>
      <c r="D205" s="161"/>
      <c r="E205" s="2038"/>
      <c r="F205" s="2039"/>
      <c r="G205" s="2026">
        <v>244000</v>
      </c>
      <c r="H205" s="2026"/>
      <c r="I205" s="2026">
        <f t="shared" ref="I205:I222" si="59">+G205+H205</f>
        <v>244000</v>
      </c>
      <c r="J205" s="675"/>
      <c r="K205" s="557"/>
      <c r="L205" s="557"/>
      <c r="M205" s="557"/>
      <c r="N205" s="557"/>
      <c r="O205" s="557"/>
      <c r="P205" s="557"/>
      <c r="Q205" s="557"/>
      <c r="R205" s="557"/>
      <c r="S205" s="557"/>
      <c r="T205" s="557"/>
      <c r="U205" s="557"/>
      <c r="V205" s="557"/>
      <c r="W205" s="557"/>
    </row>
    <row r="206" spans="1:23" s="142" customFormat="1" ht="15.75" customHeight="1">
      <c r="A206" s="2037"/>
      <c r="B206" s="2040" t="s">
        <v>207</v>
      </c>
      <c r="C206" s="1987" t="s">
        <v>454</v>
      </c>
      <c r="D206" s="161"/>
      <c r="E206" s="2038"/>
      <c r="F206" s="2039"/>
      <c r="G206" s="2026">
        <v>41000</v>
      </c>
      <c r="H206" s="2026"/>
      <c r="I206" s="2026">
        <f t="shared" si="59"/>
        <v>41000</v>
      </c>
      <c r="J206" s="675"/>
      <c r="K206" s="557"/>
      <c r="L206" s="557"/>
      <c r="M206" s="557"/>
      <c r="N206" s="557"/>
      <c r="O206" s="557"/>
      <c r="P206" s="557"/>
      <c r="Q206" s="557"/>
      <c r="R206" s="557"/>
      <c r="S206" s="557"/>
      <c r="T206" s="557"/>
      <c r="U206" s="557"/>
      <c r="V206" s="557"/>
      <c r="W206" s="557"/>
    </row>
    <row r="207" spans="1:23" s="142" customFormat="1" ht="15.75" customHeight="1">
      <c r="A207" s="2037"/>
      <c r="B207" s="2040" t="s">
        <v>210</v>
      </c>
      <c r="C207" s="1987" t="s">
        <v>455</v>
      </c>
      <c r="D207" s="161"/>
      <c r="E207" s="2038"/>
      <c r="F207" s="2039"/>
      <c r="G207" s="2026">
        <v>7000</v>
      </c>
      <c r="H207" s="2026"/>
      <c r="I207" s="2026">
        <f t="shared" si="59"/>
        <v>7000</v>
      </c>
      <c r="J207" s="675"/>
      <c r="K207" s="557"/>
      <c r="L207" s="557"/>
      <c r="M207" s="557"/>
      <c r="N207" s="557"/>
      <c r="O207" s="557"/>
      <c r="P207" s="557"/>
      <c r="Q207" s="557"/>
      <c r="R207" s="557"/>
      <c r="S207" s="557"/>
      <c r="T207" s="557"/>
      <c r="U207" s="557"/>
      <c r="V207" s="557"/>
      <c r="W207" s="557"/>
    </row>
    <row r="208" spans="1:23" s="142" customFormat="1" ht="15.75" hidden="1" customHeight="1">
      <c r="A208" s="2037"/>
      <c r="B208" s="2040" t="s">
        <v>204</v>
      </c>
      <c r="C208" s="1987" t="s">
        <v>456</v>
      </c>
      <c r="D208" s="161"/>
      <c r="E208" s="2038"/>
      <c r="F208" s="2039"/>
      <c r="G208" s="2026"/>
      <c r="H208" s="2026"/>
      <c r="I208" s="2026">
        <f t="shared" si="59"/>
        <v>0</v>
      </c>
      <c r="J208" s="675"/>
      <c r="K208" s="557"/>
      <c r="L208" s="557"/>
      <c r="M208" s="557"/>
      <c r="N208" s="557"/>
      <c r="O208" s="557"/>
      <c r="P208" s="557"/>
      <c r="Q208" s="557"/>
      <c r="R208" s="557"/>
      <c r="S208" s="557"/>
      <c r="T208" s="557"/>
      <c r="U208" s="557"/>
      <c r="V208" s="557"/>
      <c r="W208" s="557"/>
    </row>
    <row r="209" spans="1:256" s="142" customFormat="1" ht="15.75" customHeight="1">
      <c r="A209" s="669"/>
      <c r="B209" s="216" t="s">
        <v>213</v>
      </c>
      <c r="C209" s="1994" t="s">
        <v>81</v>
      </c>
      <c r="D209" s="1951"/>
      <c r="E209" s="1457"/>
      <c r="F209" s="1458"/>
      <c r="G209" s="2068">
        <f>SUM(G210,G215)</f>
        <v>56000</v>
      </c>
      <c r="H209" s="2067">
        <f>SUM(H210,H215)</f>
        <v>0</v>
      </c>
      <c r="I209" s="1704">
        <f>SUM(I210,I215)</f>
        <v>56000</v>
      </c>
      <c r="J209" s="669"/>
      <c r="K209" s="216"/>
      <c r="L209" s="1994"/>
      <c r="M209" s="1951"/>
      <c r="N209" s="1457"/>
      <c r="O209" s="1458"/>
      <c r="P209" s="1704"/>
      <c r="Q209" s="1704"/>
      <c r="R209" s="1704"/>
      <c r="S209" s="669"/>
      <c r="T209" s="216"/>
      <c r="U209" s="1994"/>
      <c r="V209" s="1951"/>
      <c r="W209" s="1457"/>
      <c r="X209" s="1458"/>
      <c r="Y209" s="1704"/>
      <c r="Z209" s="1704"/>
      <c r="AA209" s="1704"/>
      <c r="AB209" s="669"/>
      <c r="AC209" s="216"/>
      <c r="AD209" s="1994"/>
      <c r="AE209" s="1951"/>
      <c r="AF209" s="1457"/>
      <c r="AG209" s="1458"/>
      <c r="AH209" s="1704"/>
      <c r="AI209" s="1704"/>
      <c r="AJ209" s="1704"/>
      <c r="AK209" s="669"/>
      <c r="AL209" s="216"/>
      <c r="AM209" s="1994"/>
      <c r="AN209" s="1951"/>
      <c r="AO209" s="1457"/>
      <c r="AP209" s="1458"/>
      <c r="AQ209" s="1704"/>
      <c r="AR209" s="1704"/>
      <c r="AS209" s="1704"/>
      <c r="AT209" s="669"/>
      <c r="AU209" s="216"/>
      <c r="AV209" s="1994"/>
      <c r="AW209" s="1951"/>
      <c r="AX209" s="1457"/>
      <c r="AY209" s="1458"/>
      <c r="AZ209" s="1704"/>
      <c r="BA209" s="1704"/>
      <c r="BB209" s="1704"/>
      <c r="BC209" s="669"/>
      <c r="BD209" s="216"/>
      <c r="BE209" s="1994"/>
      <c r="BF209" s="1951"/>
      <c r="BG209" s="1457"/>
      <c r="BH209" s="1458"/>
      <c r="BI209" s="1704"/>
      <c r="BJ209" s="1704"/>
      <c r="BK209" s="1704"/>
      <c r="BL209" s="669"/>
      <c r="BM209" s="216"/>
      <c r="BN209" s="1994"/>
      <c r="BO209" s="1951"/>
      <c r="BP209" s="1457"/>
      <c r="BQ209" s="1458"/>
      <c r="BR209" s="1704"/>
      <c r="BS209" s="1704"/>
      <c r="BT209" s="1704"/>
      <c r="BU209" s="669"/>
      <c r="BV209" s="216"/>
      <c r="BW209" s="1994"/>
      <c r="BX209" s="1951"/>
      <c r="BY209" s="1457"/>
      <c r="BZ209" s="1458"/>
      <c r="CA209" s="1704"/>
      <c r="CB209" s="1704"/>
      <c r="CC209" s="1704"/>
      <c r="CD209" s="669"/>
      <c r="CE209" s="216"/>
      <c r="CF209" s="1994"/>
      <c r="CG209" s="1951"/>
      <c r="CH209" s="1457"/>
      <c r="CI209" s="1458"/>
      <c r="CJ209" s="1704"/>
      <c r="CK209" s="1704"/>
      <c r="CL209" s="1704"/>
      <c r="CM209" s="669"/>
      <c r="CN209" s="216"/>
      <c r="CO209" s="1994"/>
      <c r="CP209" s="1951"/>
      <c r="CQ209" s="1457"/>
      <c r="CR209" s="1458"/>
      <c r="CS209" s="1704"/>
      <c r="CT209" s="1704"/>
      <c r="CU209" s="1704"/>
      <c r="CV209" s="669"/>
      <c r="CW209" s="216"/>
      <c r="CX209" s="1994"/>
      <c r="CY209" s="1951"/>
      <c r="CZ209" s="1457"/>
      <c r="DA209" s="1458"/>
      <c r="DB209" s="1704"/>
      <c r="DC209" s="1704"/>
      <c r="DD209" s="1704"/>
      <c r="DE209" s="669"/>
      <c r="DF209" s="216"/>
      <c r="DG209" s="1994"/>
      <c r="DH209" s="1951"/>
      <c r="DI209" s="1457"/>
      <c r="DJ209" s="1458"/>
      <c r="DK209" s="1704"/>
      <c r="DL209" s="1704"/>
      <c r="DM209" s="1704"/>
      <c r="DN209" s="669"/>
      <c r="DO209" s="216"/>
      <c r="DP209" s="1994"/>
      <c r="DQ209" s="1951"/>
      <c r="DR209" s="1457"/>
      <c r="DS209" s="1458"/>
      <c r="DT209" s="1704"/>
      <c r="DU209" s="1704"/>
      <c r="DV209" s="1704"/>
      <c r="DW209" s="669"/>
      <c r="DX209" s="216"/>
      <c r="DY209" s="1994"/>
      <c r="DZ209" s="1951"/>
      <c r="EA209" s="1457"/>
      <c r="EB209" s="1458"/>
      <c r="EC209" s="1704"/>
      <c r="ED209" s="1704"/>
      <c r="EE209" s="1704"/>
      <c r="EF209" s="669"/>
      <c r="EG209" s="216"/>
      <c r="EH209" s="1994"/>
      <c r="EI209" s="1951"/>
      <c r="EJ209" s="1457"/>
      <c r="EK209" s="1458"/>
      <c r="EL209" s="1704"/>
      <c r="EM209" s="1704"/>
      <c r="EN209" s="1704"/>
      <c r="EO209" s="669"/>
      <c r="EP209" s="216"/>
      <c r="EQ209" s="1994"/>
      <c r="ER209" s="1951"/>
      <c r="ES209" s="1457"/>
      <c r="ET209" s="1458"/>
      <c r="EU209" s="1704"/>
      <c r="EV209" s="1704"/>
      <c r="EW209" s="1704"/>
      <c r="EX209" s="669"/>
      <c r="EY209" s="216"/>
      <c r="EZ209" s="1994"/>
      <c r="FA209" s="1951"/>
      <c r="FB209" s="1457"/>
      <c r="FC209" s="1458"/>
      <c r="FD209" s="1704"/>
      <c r="FE209" s="1704"/>
      <c r="FF209" s="1704"/>
      <c r="FG209" s="669"/>
      <c r="FH209" s="216"/>
      <c r="FI209" s="1994"/>
      <c r="FJ209" s="1951"/>
      <c r="FK209" s="1457"/>
      <c r="FL209" s="1458"/>
      <c r="FM209" s="1704"/>
      <c r="FN209" s="1704"/>
      <c r="FO209" s="1704"/>
      <c r="FP209" s="669"/>
      <c r="FQ209" s="216"/>
      <c r="FR209" s="1994"/>
      <c r="FS209" s="1951"/>
      <c r="FT209" s="1457"/>
      <c r="FU209" s="1458"/>
      <c r="FV209" s="1704"/>
      <c r="FW209" s="1704"/>
      <c r="FX209" s="1704"/>
      <c r="FY209" s="669"/>
      <c r="FZ209" s="216"/>
      <c r="GA209" s="1994"/>
      <c r="GB209" s="1951"/>
      <c r="GC209" s="1457"/>
      <c r="GD209" s="1458"/>
      <c r="GE209" s="1704"/>
      <c r="GF209" s="1704"/>
      <c r="GG209" s="1704"/>
      <c r="GH209" s="669"/>
      <c r="GI209" s="216"/>
      <c r="GJ209" s="1994"/>
      <c r="GK209" s="1951"/>
      <c r="GL209" s="1457"/>
      <c r="GM209" s="1458"/>
      <c r="GN209" s="1704"/>
      <c r="GO209" s="1704"/>
      <c r="GP209" s="1704"/>
      <c r="GQ209" s="669"/>
      <c r="GR209" s="216"/>
      <c r="GS209" s="1994"/>
      <c r="GT209" s="1951"/>
      <c r="GU209" s="1457"/>
      <c r="GV209" s="1458"/>
      <c r="GW209" s="1704"/>
      <c r="GX209" s="1704"/>
      <c r="GY209" s="1704"/>
      <c r="GZ209" s="669"/>
      <c r="HA209" s="216"/>
      <c r="HB209" s="1994"/>
      <c r="HC209" s="1951"/>
      <c r="HD209" s="1457"/>
      <c r="HE209" s="1458"/>
      <c r="HF209" s="1704"/>
      <c r="HG209" s="1704"/>
      <c r="HH209" s="1704"/>
      <c r="HI209" s="669"/>
      <c r="HJ209" s="216"/>
      <c r="HK209" s="1994"/>
      <c r="HL209" s="1951"/>
      <c r="HM209" s="1457"/>
      <c r="HN209" s="1458"/>
      <c r="HO209" s="1704"/>
      <c r="HP209" s="1704"/>
      <c r="HQ209" s="1704"/>
      <c r="HR209" s="669"/>
      <c r="HS209" s="216"/>
      <c r="HT209" s="1994"/>
      <c r="HU209" s="1951"/>
      <c r="HV209" s="1457"/>
      <c r="HW209" s="1458"/>
      <c r="HX209" s="1704"/>
      <c r="HY209" s="1704"/>
      <c r="HZ209" s="1704"/>
      <c r="IA209" s="669"/>
      <c r="IB209" s="216"/>
      <c r="IC209" s="1994"/>
      <c r="ID209" s="1951"/>
      <c r="IE209" s="1457"/>
      <c r="IF209" s="1458"/>
      <c r="IG209" s="1704"/>
      <c r="IH209" s="1704"/>
      <c r="II209" s="1704"/>
      <c r="IJ209" s="669"/>
      <c r="IK209" s="216"/>
      <c r="IL209" s="1994"/>
      <c r="IM209" s="1951"/>
      <c r="IN209" s="1457"/>
      <c r="IO209" s="1458"/>
      <c r="IP209" s="1704"/>
      <c r="IQ209" s="1704"/>
      <c r="IR209" s="1704"/>
      <c r="IS209" s="669"/>
      <c r="IT209" s="216"/>
      <c r="IU209" s="1994"/>
      <c r="IV209" s="1951"/>
    </row>
    <row r="210" spans="1:256" s="142" customFormat="1" ht="15.75" customHeight="1">
      <c r="A210" s="2059"/>
      <c r="B210" s="198" t="s">
        <v>215</v>
      </c>
      <c r="C210" s="2060" t="s">
        <v>1124</v>
      </c>
      <c r="D210" s="2061"/>
      <c r="E210" s="2062"/>
      <c r="F210" s="2063"/>
      <c r="G210" s="2069">
        <f>SUM(G211:G214)</f>
        <v>56000</v>
      </c>
      <c r="H210" s="2061">
        <f>SUM(H211:H214)</f>
        <v>0</v>
      </c>
      <c r="I210" s="2061">
        <f>SUM(I211:I214)</f>
        <v>56000</v>
      </c>
      <c r="J210" s="2064"/>
      <c r="K210" s="2065"/>
      <c r="L210" s="2066"/>
      <c r="M210" s="2061"/>
      <c r="N210" s="2063"/>
      <c r="O210" s="2063"/>
      <c r="P210" s="2061"/>
      <c r="Q210" s="2061"/>
      <c r="R210" s="2061"/>
      <c r="S210" s="2064"/>
      <c r="T210" s="2065"/>
      <c r="U210" s="2066"/>
      <c r="V210" s="2061"/>
      <c r="W210" s="2063"/>
      <c r="X210" s="2063"/>
      <c r="Y210" s="2061"/>
      <c r="Z210" s="2061"/>
      <c r="AA210" s="2061"/>
      <c r="AB210" s="2064"/>
      <c r="AC210" s="2065"/>
      <c r="AD210" s="2066"/>
      <c r="AE210" s="2061"/>
      <c r="AF210" s="2063"/>
      <c r="AG210" s="2063"/>
      <c r="AH210" s="2061"/>
      <c r="AI210" s="2061"/>
      <c r="AJ210" s="2061"/>
      <c r="AK210" s="2064"/>
      <c r="AL210" s="2065"/>
      <c r="AM210" s="2066"/>
      <c r="AN210" s="2061"/>
      <c r="AO210" s="2063"/>
      <c r="AP210" s="2063"/>
      <c r="AQ210" s="2061"/>
      <c r="AR210" s="2061"/>
      <c r="AS210" s="2061"/>
      <c r="AT210" s="2064"/>
      <c r="AU210" s="2065"/>
      <c r="AV210" s="2066"/>
      <c r="AW210" s="2061"/>
      <c r="AX210" s="2063"/>
      <c r="AY210" s="2063"/>
      <c r="AZ210" s="2061"/>
      <c r="BA210" s="2061"/>
      <c r="BB210" s="2061"/>
      <c r="BC210" s="2064"/>
      <c r="BD210" s="2065"/>
      <c r="BE210" s="2066"/>
      <c r="BF210" s="2061"/>
      <c r="BG210" s="2063"/>
      <c r="BH210" s="2063"/>
      <c r="BI210" s="2061"/>
      <c r="BJ210" s="2061"/>
      <c r="BK210" s="2061"/>
      <c r="BL210" s="2064"/>
      <c r="BM210" s="2065"/>
      <c r="BN210" s="2066"/>
      <c r="BO210" s="2061"/>
      <c r="BP210" s="2063"/>
      <c r="BQ210" s="2063"/>
      <c r="BR210" s="2061"/>
      <c r="BS210" s="2061"/>
      <c r="BT210" s="2061"/>
      <c r="BU210" s="2064"/>
      <c r="BV210" s="2065"/>
      <c r="BW210" s="2066"/>
      <c r="BX210" s="2061"/>
      <c r="BY210" s="2063"/>
      <c r="BZ210" s="2063"/>
      <c r="CA210" s="2061"/>
      <c r="CB210" s="2061"/>
      <c r="CC210" s="2061"/>
      <c r="CD210" s="2064"/>
      <c r="CE210" s="2065"/>
      <c r="CF210" s="2066"/>
      <c r="CG210" s="2061"/>
      <c r="CH210" s="2063"/>
      <c r="CI210" s="2063"/>
      <c r="CJ210" s="2061"/>
      <c r="CK210" s="2061"/>
      <c r="CL210" s="2061"/>
      <c r="CM210" s="2064"/>
      <c r="CN210" s="2065"/>
      <c r="CO210" s="2066"/>
      <c r="CP210" s="2061"/>
      <c r="CQ210" s="2063"/>
      <c r="CR210" s="2063"/>
      <c r="CS210" s="2061"/>
      <c r="CT210" s="2061"/>
      <c r="CU210" s="2061"/>
      <c r="CV210" s="2064"/>
      <c r="CW210" s="2065"/>
      <c r="CX210" s="2066"/>
      <c r="CY210" s="2061"/>
      <c r="CZ210" s="2063"/>
      <c r="DA210" s="2063"/>
      <c r="DB210" s="2061"/>
      <c r="DC210" s="2061"/>
      <c r="DD210" s="2061"/>
      <c r="DE210" s="2064"/>
      <c r="DF210" s="2065"/>
      <c r="DG210" s="2066"/>
      <c r="DH210" s="2061"/>
      <c r="DI210" s="2063"/>
      <c r="DJ210" s="2063"/>
      <c r="DK210" s="2061"/>
      <c r="DL210" s="2061"/>
      <c r="DM210" s="2061"/>
      <c r="DN210" s="2064"/>
      <c r="DO210" s="2065"/>
      <c r="DP210" s="2066"/>
      <c r="DQ210" s="2061"/>
      <c r="DR210" s="2063"/>
      <c r="DS210" s="2063"/>
      <c r="DT210" s="2061"/>
      <c r="DU210" s="2061"/>
      <c r="DV210" s="2061"/>
      <c r="DW210" s="2064"/>
      <c r="DX210" s="2065"/>
      <c r="DY210" s="2066"/>
      <c r="DZ210" s="2061"/>
      <c r="EA210" s="2063"/>
      <c r="EB210" s="2063"/>
      <c r="EC210" s="2061"/>
      <c r="ED210" s="2061"/>
      <c r="EE210" s="2061"/>
      <c r="EF210" s="2064"/>
      <c r="EG210" s="2065"/>
      <c r="EH210" s="2066"/>
      <c r="EI210" s="2061"/>
      <c r="EJ210" s="2063"/>
      <c r="EK210" s="2063"/>
      <c r="EL210" s="2061"/>
      <c r="EM210" s="2061"/>
      <c r="EN210" s="2061"/>
      <c r="EO210" s="2064"/>
      <c r="EP210" s="2065"/>
      <c r="EQ210" s="2066"/>
      <c r="ER210" s="2061"/>
      <c r="ES210" s="2063"/>
      <c r="ET210" s="2063"/>
      <c r="EU210" s="2061"/>
      <c r="EV210" s="2061"/>
      <c r="EW210" s="2061"/>
      <c r="EX210" s="2064"/>
      <c r="EY210" s="2065"/>
      <c r="EZ210" s="2066"/>
      <c r="FA210" s="2061"/>
      <c r="FB210" s="2063"/>
      <c r="FC210" s="2063"/>
      <c r="FD210" s="2061"/>
      <c r="FE210" s="2061"/>
      <c r="FF210" s="2061"/>
      <c r="FG210" s="2064"/>
      <c r="FH210" s="2065"/>
      <c r="FI210" s="2066"/>
      <c r="FJ210" s="2061"/>
      <c r="FK210" s="2063"/>
      <c r="FL210" s="2063"/>
      <c r="FM210" s="2061"/>
      <c r="FN210" s="2061"/>
      <c r="FO210" s="2061"/>
      <c r="FP210" s="2064"/>
      <c r="FQ210" s="2065"/>
      <c r="FR210" s="2066"/>
      <c r="FS210" s="2061"/>
      <c r="FT210" s="2063"/>
      <c r="FU210" s="2063"/>
      <c r="FV210" s="2061"/>
      <c r="FW210" s="2061"/>
      <c r="FX210" s="2061"/>
      <c r="FY210" s="2064"/>
      <c r="FZ210" s="2065"/>
      <c r="GA210" s="2066"/>
      <c r="GB210" s="2061"/>
      <c r="GC210" s="2063"/>
      <c r="GD210" s="2063"/>
      <c r="GE210" s="2061"/>
      <c r="GF210" s="2061"/>
      <c r="GG210" s="2061"/>
      <c r="GH210" s="2064"/>
      <c r="GI210" s="2065"/>
      <c r="GJ210" s="2066"/>
      <c r="GK210" s="2061"/>
      <c r="GL210" s="2063"/>
      <c r="GM210" s="2063"/>
      <c r="GN210" s="2061"/>
      <c r="GO210" s="2061"/>
      <c r="GP210" s="2061"/>
      <c r="GQ210" s="2064"/>
      <c r="GR210" s="2065"/>
      <c r="GS210" s="2066"/>
      <c r="GT210" s="2061"/>
      <c r="GU210" s="2063"/>
      <c r="GV210" s="2063"/>
      <c r="GW210" s="2061"/>
      <c r="GX210" s="2061"/>
      <c r="GY210" s="2061"/>
      <c r="GZ210" s="2064"/>
      <c r="HA210" s="2065"/>
      <c r="HB210" s="2066"/>
      <c r="HC210" s="2061"/>
      <c r="HD210" s="2063"/>
      <c r="HE210" s="2063"/>
      <c r="HF210" s="2061"/>
      <c r="HG210" s="2061"/>
      <c r="HH210" s="2061"/>
      <c r="HI210" s="2064"/>
      <c r="HJ210" s="2065"/>
      <c r="HK210" s="2066"/>
      <c r="HL210" s="2061"/>
      <c r="HM210" s="2063"/>
      <c r="HN210" s="2063"/>
      <c r="HO210" s="2061"/>
      <c r="HP210" s="2061"/>
      <c r="HQ210" s="2061"/>
      <c r="HR210" s="2064"/>
      <c r="HS210" s="2065"/>
      <c r="HT210" s="2066"/>
      <c r="HU210" s="2061"/>
      <c r="HV210" s="2063"/>
      <c r="HW210" s="2063"/>
      <c r="HX210" s="2061"/>
      <c r="HY210" s="2061"/>
      <c r="HZ210" s="2061"/>
      <c r="IA210" s="2064"/>
      <c r="IB210" s="2065"/>
      <c r="IC210" s="2066"/>
      <c r="ID210" s="2061"/>
      <c r="IE210" s="2063"/>
      <c r="IF210" s="2063"/>
      <c r="IG210" s="2061"/>
      <c r="IH210" s="2061"/>
      <c r="II210" s="2061"/>
      <c r="IJ210" s="2064"/>
      <c r="IK210" s="2065"/>
      <c r="IL210" s="2066"/>
      <c r="IM210" s="2061"/>
      <c r="IN210" s="2063"/>
      <c r="IO210" s="2063"/>
      <c r="IP210" s="2061"/>
      <c r="IQ210" s="2061"/>
      <c r="IR210" s="2061"/>
      <c r="IS210" s="2064"/>
      <c r="IT210" s="2065"/>
      <c r="IU210" s="2066"/>
      <c r="IV210" s="2061"/>
    </row>
    <row r="211" spans="1:256" s="142" customFormat="1" ht="15.75" hidden="1" customHeight="1">
      <c r="A211" s="2037"/>
      <c r="B211" s="165" t="s">
        <v>217</v>
      </c>
      <c r="C211" s="2036" t="s">
        <v>457</v>
      </c>
      <c r="D211" s="161"/>
      <c r="E211" s="2038"/>
      <c r="F211" s="2039"/>
      <c r="G211" s="2026"/>
      <c r="H211" s="2026"/>
      <c r="I211" s="2026">
        <f t="shared" si="59"/>
        <v>0</v>
      </c>
      <c r="J211" s="675"/>
      <c r="K211" s="557"/>
      <c r="L211" s="557"/>
      <c r="M211" s="557"/>
      <c r="N211" s="557"/>
      <c r="O211" s="557"/>
      <c r="P211" s="557"/>
      <c r="Q211" s="557"/>
      <c r="R211" s="557"/>
      <c r="S211" s="557"/>
      <c r="T211" s="557"/>
      <c r="U211" s="557"/>
      <c r="V211" s="557"/>
      <c r="W211" s="557"/>
    </row>
    <row r="212" spans="1:256" s="142" customFormat="1" ht="15.75" customHeight="1">
      <c r="A212" s="2037"/>
      <c r="B212" s="165" t="s">
        <v>458</v>
      </c>
      <c r="C212" s="2036" t="s">
        <v>459</v>
      </c>
      <c r="D212" s="161"/>
      <c r="E212" s="2038"/>
      <c r="F212" s="2039"/>
      <c r="G212" s="2026">
        <v>56000</v>
      </c>
      <c r="H212" s="2026"/>
      <c r="I212" s="2026">
        <f t="shared" si="59"/>
        <v>56000</v>
      </c>
      <c r="J212" s="675"/>
      <c r="K212" s="557"/>
      <c r="L212" s="557"/>
      <c r="M212" s="557"/>
      <c r="N212" s="557"/>
      <c r="O212" s="557"/>
      <c r="P212" s="557"/>
      <c r="Q212" s="557"/>
      <c r="R212" s="557"/>
      <c r="S212" s="557"/>
      <c r="T212" s="557"/>
      <c r="U212" s="557"/>
      <c r="V212" s="557"/>
      <c r="W212" s="557"/>
    </row>
    <row r="213" spans="1:256" s="142" customFormat="1" ht="15.75" hidden="1" customHeight="1">
      <c r="A213" s="2037"/>
      <c r="B213" s="165" t="s">
        <v>231</v>
      </c>
      <c r="C213" s="2036" t="s">
        <v>462</v>
      </c>
      <c r="D213" s="161"/>
      <c r="E213" s="2038"/>
      <c r="F213" s="2039"/>
      <c r="G213" s="2026"/>
      <c r="H213" s="2026"/>
      <c r="I213" s="2026">
        <f t="shared" si="59"/>
        <v>0</v>
      </c>
      <c r="J213" s="675"/>
      <c r="K213" s="557"/>
      <c r="L213" s="557"/>
      <c r="M213" s="557"/>
      <c r="N213" s="557"/>
      <c r="O213" s="557"/>
      <c r="P213" s="557"/>
      <c r="Q213" s="557"/>
      <c r="R213" s="557"/>
      <c r="S213" s="557"/>
      <c r="T213" s="557"/>
      <c r="U213" s="557"/>
      <c r="V213" s="557"/>
      <c r="W213" s="557"/>
    </row>
    <row r="214" spans="1:256" s="142" customFormat="1" ht="15.75" hidden="1" customHeight="1">
      <c r="A214" s="2037"/>
      <c r="B214" s="165" t="s">
        <v>463</v>
      </c>
      <c r="C214" s="2036" t="s">
        <v>464</v>
      </c>
      <c r="D214" s="161"/>
      <c r="E214" s="2038"/>
      <c r="F214" s="2039"/>
      <c r="G214" s="2026"/>
      <c r="H214" s="2026"/>
      <c r="I214" s="2026">
        <f t="shared" si="59"/>
        <v>0</v>
      </c>
      <c r="J214" s="675"/>
      <c r="K214" s="557"/>
      <c r="L214" s="557"/>
      <c r="M214" s="557"/>
      <c r="N214" s="557"/>
      <c r="O214" s="557"/>
      <c r="P214" s="557"/>
      <c r="Q214" s="557"/>
      <c r="R214" s="557"/>
      <c r="S214" s="557"/>
      <c r="T214" s="557"/>
      <c r="U214" s="557"/>
      <c r="V214" s="557"/>
      <c r="W214" s="557"/>
    </row>
    <row r="215" spans="1:256" s="142" customFormat="1" ht="15.75" hidden="1" customHeight="1">
      <c r="A215" s="2059"/>
      <c r="B215" s="198" t="s">
        <v>236</v>
      </c>
      <c r="C215" s="2060" t="s">
        <v>1125</v>
      </c>
      <c r="D215" s="2061"/>
      <c r="E215" s="2062"/>
      <c r="F215" s="2063"/>
      <c r="G215" s="2070">
        <f>SUM(G216:G218)</f>
        <v>0</v>
      </c>
      <c r="H215" s="2070">
        <f>SUM(H216:H218)</f>
        <v>0</v>
      </c>
      <c r="I215" s="2070">
        <f>SUM(I216:I218)</f>
        <v>0</v>
      </c>
      <c r="J215" s="675"/>
      <c r="K215" s="557"/>
      <c r="L215" s="557"/>
      <c r="M215" s="557"/>
      <c r="N215" s="557"/>
      <c r="O215" s="557"/>
      <c r="P215" s="557"/>
      <c r="Q215" s="557"/>
      <c r="R215" s="557"/>
      <c r="S215" s="557"/>
      <c r="T215" s="557"/>
      <c r="U215" s="557"/>
      <c r="V215" s="557"/>
      <c r="W215" s="557"/>
    </row>
    <row r="216" spans="1:256" s="142" customFormat="1" ht="15.75" hidden="1" customHeight="1">
      <c r="A216" s="2037"/>
      <c r="B216" s="165" t="s">
        <v>465</v>
      </c>
      <c r="C216" s="2036" t="s">
        <v>466</v>
      </c>
      <c r="D216" s="161"/>
      <c r="E216" s="2038"/>
      <c r="F216" s="2039"/>
      <c r="G216" s="2026"/>
      <c r="H216" s="2026"/>
      <c r="I216" s="2026">
        <f t="shared" si="59"/>
        <v>0</v>
      </c>
      <c r="J216" s="675"/>
      <c r="K216" s="557"/>
      <c r="L216" s="557"/>
      <c r="M216" s="557"/>
      <c r="N216" s="557"/>
      <c r="O216" s="557"/>
      <c r="P216" s="557"/>
      <c r="Q216" s="557"/>
      <c r="R216" s="557"/>
      <c r="S216" s="557"/>
      <c r="T216" s="557"/>
      <c r="U216" s="557"/>
      <c r="V216" s="557"/>
      <c r="W216" s="557"/>
    </row>
    <row r="217" spans="1:256" s="142" customFormat="1" ht="15.75" hidden="1" customHeight="1">
      <c r="A217" s="2037"/>
      <c r="B217" s="165" t="s">
        <v>467</v>
      </c>
      <c r="C217" s="2036" t="s">
        <v>468</v>
      </c>
      <c r="D217" s="161"/>
      <c r="E217" s="2038"/>
      <c r="F217" s="2039"/>
      <c r="G217" s="2026"/>
      <c r="H217" s="2026"/>
      <c r="I217" s="2026">
        <f t="shared" si="59"/>
        <v>0</v>
      </c>
      <c r="J217" s="675"/>
      <c r="K217" s="557"/>
      <c r="L217" s="557"/>
      <c r="M217" s="557"/>
      <c r="N217" s="557"/>
      <c r="O217" s="557"/>
      <c r="P217" s="557"/>
      <c r="Q217" s="557"/>
      <c r="R217" s="557"/>
      <c r="S217" s="557"/>
      <c r="T217" s="557"/>
      <c r="U217" s="557"/>
      <c r="V217" s="557"/>
      <c r="W217" s="557"/>
    </row>
    <row r="218" spans="1:256" s="142" customFormat="1" ht="15.75" hidden="1" customHeight="1">
      <c r="A218" s="2037"/>
      <c r="B218" s="165" t="s">
        <v>65</v>
      </c>
      <c r="C218" s="1987" t="s">
        <v>469</v>
      </c>
      <c r="D218" s="161"/>
      <c r="E218" s="2038"/>
      <c r="F218" s="2039"/>
      <c r="G218" s="2026"/>
      <c r="H218" s="2026"/>
      <c r="I218" s="2026">
        <f t="shared" si="59"/>
        <v>0</v>
      </c>
      <c r="J218" s="675"/>
      <c r="K218" s="557"/>
      <c r="L218" s="557"/>
      <c r="M218" s="557"/>
      <c r="N218" s="557"/>
      <c r="O218" s="557"/>
      <c r="P218" s="557"/>
      <c r="Q218" s="557"/>
      <c r="R218" s="557"/>
      <c r="S218" s="557"/>
      <c r="T218" s="557"/>
      <c r="U218" s="557"/>
      <c r="V218" s="557"/>
      <c r="W218" s="557"/>
    </row>
    <row r="219" spans="1:256" s="142" customFormat="1" ht="15.75" customHeight="1">
      <c r="A219" s="2037"/>
      <c r="B219" s="165" t="s">
        <v>472</v>
      </c>
      <c r="C219" s="1987" t="s">
        <v>473</v>
      </c>
      <c r="D219" s="161"/>
      <c r="E219" s="2038"/>
      <c r="F219" s="2039"/>
      <c r="G219" s="2026"/>
      <c r="H219" s="2026"/>
      <c r="I219" s="2026">
        <f t="shared" si="59"/>
        <v>0</v>
      </c>
      <c r="J219" s="675"/>
      <c r="K219" s="557"/>
      <c r="L219" s="557"/>
      <c r="M219" s="557"/>
      <c r="N219" s="557"/>
      <c r="O219" s="557"/>
      <c r="P219" s="557"/>
      <c r="Q219" s="557"/>
      <c r="R219" s="557"/>
      <c r="S219" s="557"/>
      <c r="T219" s="557"/>
      <c r="U219" s="557"/>
      <c r="V219" s="557"/>
      <c r="W219" s="557"/>
    </row>
    <row r="220" spans="1:256" s="142" customFormat="1" ht="15.75" customHeight="1">
      <c r="A220" s="669"/>
      <c r="B220" s="216" t="s">
        <v>275</v>
      </c>
      <c r="C220" s="1994" t="s">
        <v>81</v>
      </c>
      <c r="D220" s="1951"/>
      <c r="E220" s="1457"/>
      <c r="F220" s="1458"/>
      <c r="G220" s="1704">
        <f>SUM(G221:G222)</f>
        <v>0</v>
      </c>
      <c r="H220" s="1704">
        <f>SUM(H221:H222)</f>
        <v>0</v>
      </c>
      <c r="I220" s="1704">
        <f>SUM(I221:I222)</f>
        <v>0</v>
      </c>
      <c r="J220" s="669"/>
      <c r="K220" s="216"/>
      <c r="L220" s="1994"/>
      <c r="M220" s="1951"/>
      <c r="N220" s="1457"/>
      <c r="O220" s="1458"/>
      <c r="P220" s="1704"/>
      <c r="Q220" s="1704"/>
      <c r="R220" s="1704"/>
      <c r="S220" s="669"/>
      <c r="T220" s="216"/>
      <c r="U220" s="1994"/>
      <c r="V220" s="1951"/>
      <c r="W220" s="1457"/>
      <c r="X220" s="1458"/>
      <c r="Y220" s="1704"/>
      <c r="Z220" s="1704"/>
      <c r="AA220" s="1704"/>
      <c r="AB220" s="669"/>
      <c r="AC220" s="216"/>
      <c r="AD220" s="1994"/>
      <c r="AE220" s="1951"/>
      <c r="AF220" s="1457"/>
      <c r="AG220" s="1458"/>
      <c r="AH220" s="1704"/>
      <c r="AI220" s="1704"/>
      <c r="AJ220" s="1704"/>
      <c r="AK220" s="669"/>
      <c r="AL220" s="216"/>
      <c r="AM220" s="1994"/>
      <c r="AN220" s="1951"/>
      <c r="AO220" s="1457"/>
      <c r="AP220" s="1458"/>
      <c r="AQ220" s="1704"/>
      <c r="AR220" s="1704"/>
      <c r="AS220" s="1704"/>
      <c r="AT220" s="669"/>
      <c r="AU220" s="216"/>
      <c r="AV220" s="1994"/>
      <c r="AW220" s="1951"/>
      <c r="AX220" s="1457"/>
      <c r="AY220" s="1458"/>
      <c r="AZ220" s="1704"/>
      <c r="BA220" s="1704"/>
      <c r="BB220" s="1704"/>
      <c r="BC220" s="669"/>
      <c r="BD220" s="216"/>
      <c r="BE220" s="1994"/>
      <c r="BF220" s="1951"/>
      <c r="BG220" s="1457"/>
      <c r="BH220" s="1458"/>
      <c r="BI220" s="1704"/>
      <c r="BJ220" s="1704"/>
      <c r="BK220" s="1704"/>
      <c r="BL220" s="669"/>
      <c r="BM220" s="216"/>
      <c r="BN220" s="1994"/>
      <c r="BO220" s="1951"/>
      <c r="BP220" s="1457"/>
      <c r="BQ220" s="1458"/>
      <c r="BR220" s="1704"/>
      <c r="BS220" s="1704"/>
      <c r="BT220" s="1704"/>
      <c r="BU220" s="669"/>
      <c r="BV220" s="216"/>
      <c r="BW220" s="1994"/>
      <c r="BX220" s="1951"/>
      <c r="BY220" s="1457"/>
      <c r="BZ220" s="1458"/>
      <c r="CA220" s="1704"/>
      <c r="CB220" s="1704"/>
      <c r="CC220" s="1704"/>
      <c r="CD220" s="669"/>
      <c r="CE220" s="216"/>
      <c r="CF220" s="1994"/>
      <c r="CG220" s="1951"/>
      <c r="CH220" s="1457"/>
      <c r="CI220" s="1458"/>
      <c r="CJ220" s="1704"/>
      <c r="CK220" s="1704"/>
      <c r="CL220" s="1704"/>
      <c r="CM220" s="669"/>
      <c r="CN220" s="216"/>
      <c r="CO220" s="1994"/>
      <c r="CP220" s="1951"/>
      <c r="CQ220" s="1457"/>
      <c r="CR220" s="1458"/>
      <c r="CS220" s="1704"/>
      <c r="CT220" s="1704"/>
      <c r="CU220" s="1704"/>
      <c r="CV220" s="669"/>
      <c r="CW220" s="216"/>
      <c r="CX220" s="1994"/>
      <c r="CY220" s="1951"/>
      <c r="CZ220" s="1457"/>
      <c r="DA220" s="1458"/>
      <c r="DB220" s="1704"/>
      <c r="DC220" s="1704"/>
      <c r="DD220" s="1704"/>
      <c r="DE220" s="669"/>
      <c r="DF220" s="216"/>
      <c r="DG220" s="1994"/>
      <c r="DH220" s="1951"/>
      <c r="DI220" s="1457"/>
      <c r="DJ220" s="1458"/>
      <c r="DK220" s="1704"/>
      <c r="DL220" s="1704"/>
      <c r="DM220" s="1704"/>
      <c r="DN220" s="669"/>
      <c r="DO220" s="216"/>
      <c r="DP220" s="1994"/>
      <c r="DQ220" s="1951"/>
      <c r="DR220" s="1457"/>
      <c r="DS220" s="1458"/>
      <c r="DT220" s="1704"/>
      <c r="DU220" s="1704"/>
      <c r="DV220" s="1704"/>
      <c r="DW220" s="669"/>
      <c r="DX220" s="216"/>
      <c r="DY220" s="1994"/>
      <c r="DZ220" s="1951"/>
      <c r="EA220" s="1457"/>
      <c r="EB220" s="1458"/>
      <c r="EC220" s="1704"/>
      <c r="ED220" s="1704"/>
      <c r="EE220" s="1704"/>
      <c r="EF220" s="669"/>
      <c r="EG220" s="216"/>
      <c r="EH220" s="1994"/>
      <c r="EI220" s="1951"/>
      <c r="EJ220" s="1457"/>
      <c r="EK220" s="1458"/>
      <c r="EL220" s="1704"/>
      <c r="EM220" s="1704"/>
      <c r="EN220" s="1704"/>
      <c r="EO220" s="669"/>
      <c r="EP220" s="216"/>
      <c r="EQ220" s="1994"/>
      <c r="ER220" s="1951"/>
      <c r="ES220" s="1457"/>
      <c r="ET220" s="1458"/>
      <c r="EU220" s="1704"/>
      <c r="EV220" s="1704"/>
      <c r="EW220" s="1704"/>
      <c r="EX220" s="669"/>
      <c r="EY220" s="216"/>
      <c r="EZ220" s="1994"/>
      <c r="FA220" s="1951"/>
      <c r="FB220" s="1457"/>
      <c r="FC220" s="1458"/>
      <c r="FD220" s="1704"/>
      <c r="FE220" s="1704"/>
      <c r="FF220" s="1704"/>
      <c r="FG220" s="669"/>
      <c r="FH220" s="216"/>
      <c r="FI220" s="1994"/>
      <c r="FJ220" s="1951"/>
      <c r="FK220" s="1457"/>
      <c r="FL220" s="1458"/>
      <c r="FM220" s="1704"/>
      <c r="FN220" s="1704"/>
      <c r="FO220" s="1704"/>
      <c r="FP220" s="669"/>
      <c r="FQ220" s="216"/>
      <c r="FR220" s="1994"/>
      <c r="FS220" s="1951"/>
      <c r="FT220" s="1457"/>
      <c r="FU220" s="1458"/>
      <c r="FV220" s="1704"/>
      <c r="FW220" s="1704"/>
      <c r="FX220" s="1704"/>
      <c r="FY220" s="669"/>
      <c r="FZ220" s="216"/>
      <c r="GA220" s="1994"/>
      <c r="GB220" s="1951"/>
      <c r="GC220" s="1457"/>
      <c r="GD220" s="1458"/>
      <c r="GE220" s="1704"/>
      <c r="GF220" s="1704"/>
      <c r="GG220" s="1704"/>
      <c r="GH220" s="669"/>
      <c r="GI220" s="216"/>
      <c r="GJ220" s="1994"/>
      <c r="GK220" s="1951"/>
      <c r="GL220" s="1457"/>
      <c r="GM220" s="1458"/>
      <c r="GN220" s="1704"/>
      <c r="GO220" s="1704"/>
      <c r="GP220" s="1704"/>
      <c r="GQ220" s="669"/>
      <c r="GR220" s="216"/>
      <c r="GS220" s="1994"/>
      <c r="GT220" s="1951"/>
      <c r="GU220" s="1457"/>
      <c r="GV220" s="1458"/>
      <c r="GW220" s="1704"/>
      <c r="GX220" s="1704"/>
      <c r="GY220" s="1704"/>
      <c r="GZ220" s="669"/>
      <c r="HA220" s="216"/>
      <c r="HB220" s="1994"/>
      <c r="HC220" s="1951"/>
      <c r="HD220" s="1457"/>
      <c r="HE220" s="1458"/>
      <c r="HF220" s="1704"/>
      <c r="HG220" s="1704"/>
      <c r="HH220" s="1704"/>
      <c r="HI220" s="669"/>
      <c r="HJ220" s="216"/>
      <c r="HK220" s="1994"/>
      <c r="HL220" s="1951"/>
      <c r="HM220" s="1457"/>
      <c r="HN220" s="1458"/>
      <c r="HO220" s="1704"/>
      <c r="HP220" s="1704"/>
      <c r="HQ220" s="1704"/>
      <c r="HR220" s="669"/>
      <c r="HS220" s="216"/>
      <c r="HT220" s="1994"/>
      <c r="HU220" s="1951"/>
      <c r="HV220" s="1457"/>
      <c r="HW220" s="1458"/>
      <c r="HX220" s="1704"/>
      <c r="HY220" s="1704"/>
      <c r="HZ220" s="1704"/>
      <c r="IA220" s="669"/>
      <c r="IB220" s="216"/>
      <c r="IC220" s="1994"/>
      <c r="ID220" s="1951"/>
      <c r="IE220" s="1457"/>
      <c r="IF220" s="1458"/>
      <c r="IG220" s="1704"/>
      <c r="IH220" s="1704"/>
      <c r="II220" s="1704"/>
      <c r="IJ220" s="669"/>
      <c r="IK220" s="216"/>
      <c r="IL220" s="1994"/>
      <c r="IM220" s="1951"/>
      <c r="IN220" s="1457"/>
      <c r="IO220" s="1458"/>
      <c r="IP220" s="1704"/>
      <c r="IQ220" s="1704"/>
      <c r="IR220" s="1704"/>
      <c r="IS220" s="669"/>
      <c r="IT220" s="216"/>
      <c r="IU220" s="1994"/>
      <c r="IV220" s="1951"/>
    </row>
    <row r="221" spans="1:256" s="142" customFormat="1" ht="15.75" customHeight="1">
      <c r="A221" s="2037"/>
      <c r="B221" s="165" t="s">
        <v>277</v>
      </c>
      <c r="C221" s="1987" t="s">
        <v>474</v>
      </c>
      <c r="D221" s="161"/>
      <c r="E221" s="2038"/>
      <c r="F221" s="2039"/>
      <c r="G221" s="2026"/>
      <c r="H221" s="2026"/>
      <c r="I221" s="2026">
        <f t="shared" si="59"/>
        <v>0</v>
      </c>
      <c r="J221" s="675"/>
      <c r="K221" s="557"/>
      <c r="L221" s="557"/>
      <c r="M221" s="557"/>
      <c r="N221" s="557"/>
      <c r="O221" s="557"/>
      <c r="P221" s="557"/>
      <c r="Q221" s="557"/>
      <c r="R221" s="557"/>
      <c r="S221" s="557"/>
      <c r="T221" s="557"/>
      <c r="U221" s="557"/>
      <c r="V221" s="557"/>
      <c r="W221" s="557"/>
    </row>
    <row r="222" spans="1:256" s="142" customFormat="1" ht="15.75" customHeight="1">
      <c r="A222" s="2037"/>
      <c r="B222" s="165" t="s">
        <v>282</v>
      </c>
      <c r="C222" s="1987" t="s">
        <v>475</v>
      </c>
      <c r="D222" s="161"/>
      <c r="E222" s="2038"/>
      <c r="F222" s="2039"/>
      <c r="G222" s="2042"/>
      <c r="H222" s="2042"/>
      <c r="I222" s="2026">
        <f t="shared" si="59"/>
        <v>0</v>
      </c>
      <c r="J222" s="675"/>
      <c r="K222" s="557"/>
      <c r="L222" s="557"/>
      <c r="M222" s="557"/>
      <c r="N222" s="557"/>
      <c r="O222" s="557"/>
      <c r="P222" s="557"/>
      <c r="Q222" s="557"/>
      <c r="R222" s="557"/>
      <c r="S222" s="557"/>
      <c r="T222" s="557"/>
      <c r="U222" s="557"/>
      <c r="V222" s="557"/>
      <c r="W222" s="557"/>
    </row>
    <row r="223" spans="1:256" s="179" customFormat="1">
      <c r="A223" s="168" t="s">
        <v>24</v>
      </c>
      <c r="B223" s="177" t="s">
        <v>198</v>
      </c>
      <c r="C223" s="1991" t="s">
        <v>81</v>
      </c>
      <c r="D223" s="1948">
        <f t="shared" ref="D223:I223" si="60">SUM(D225,D230,D233,D228,D236,D271)</f>
        <v>305662000</v>
      </c>
      <c r="E223" s="1417">
        <f t="shared" si="60"/>
        <v>305647000</v>
      </c>
      <c r="F223" s="1418">
        <f t="shared" si="60"/>
        <v>311302726</v>
      </c>
      <c r="G223" s="1679">
        <f t="shared" si="60"/>
        <v>335334000</v>
      </c>
      <c r="H223" s="1679">
        <f t="shared" si="60"/>
        <v>0</v>
      </c>
      <c r="I223" s="1679">
        <f t="shared" si="60"/>
        <v>335334000</v>
      </c>
      <c r="J223" s="671"/>
      <c r="K223" s="671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569"/>
      <c r="W223" s="569"/>
    </row>
    <row r="224" spans="1:256" s="179" customFormat="1">
      <c r="A224" s="168" t="s">
        <v>87</v>
      </c>
      <c r="B224" s="198" t="s">
        <v>199</v>
      </c>
      <c r="C224" s="1995" t="s">
        <v>81</v>
      </c>
      <c r="D224" s="1948">
        <f t="shared" ref="D224:I224" si="61">SUM(D225,D228)</f>
        <v>53482000</v>
      </c>
      <c r="E224" s="1417">
        <f t="shared" si="61"/>
        <v>53482000</v>
      </c>
      <c r="F224" s="1418">
        <f t="shared" si="61"/>
        <v>63502000</v>
      </c>
      <c r="G224" s="759">
        <f t="shared" si="61"/>
        <v>58754000</v>
      </c>
      <c r="H224" s="759">
        <f t="shared" si="61"/>
        <v>0</v>
      </c>
      <c r="I224" s="759">
        <f t="shared" si="61"/>
        <v>58754000</v>
      </c>
      <c r="J224" s="671"/>
      <c r="K224" s="671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</row>
    <row r="225" spans="1:23" s="204" customFormat="1">
      <c r="A225" s="169" t="s">
        <v>200</v>
      </c>
      <c r="B225" s="198" t="s">
        <v>201</v>
      </c>
      <c r="C225" s="1988" t="s">
        <v>1048</v>
      </c>
      <c r="D225" s="1949">
        <f t="shared" ref="D225:I225" si="62">SUM(D226:D227)</f>
        <v>52282000</v>
      </c>
      <c r="E225" s="1453">
        <f t="shared" si="62"/>
        <v>52282000</v>
      </c>
      <c r="F225" s="1454">
        <f t="shared" si="62"/>
        <v>62282000</v>
      </c>
      <c r="G225" s="1702">
        <f t="shared" si="62"/>
        <v>57554000</v>
      </c>
      <c r="H225" s="1702">
        <f t="shared" si="62"/>
        <v>0</v>
      </c>
      <c r="I225" s="1702">
        <f t="shared" si="62"/>
        <v>57554000</v>
      </c>
      <c r="J225" s="671"/>
      <c r="K225" s="671"/>
      <c r="L225" s="575"/>
      <c r="M225" s="575"/>
      <c r="N225" s="575"/>
      <c r="O225" s="575"/>
      <c r="P225" s="575"/>
      <c r="Q225" s="575"/>
      <c r="R225" s="575"/>
      <c r="S225" s="575"/>
      <c r="T225" s="575"/>
      <c r="U225" s="575"/>
      <c r="V225" s="575"/>
      <c r="W225" s="575"/>
    </row>
    <row r="226" spans="1:23">
      <c r="A226" s="631"/>
      <c r="B226" s="165" t="s">
        <v>145</v>
      </c>
      <c r="C226" s="1987" t="s">
        <v>202</v>
      </c>
      <c r="D226" s="1946">
        <v>52282000</v>
      </c>
      <c r="E226" s="1443">
        <f>52282000-E227</f>
        <v>52190000</v>
      </c>
      <c r="F226" s="1444">
        <v>62282000</v>
      </c>
      <c r="G226" s="1705">
        <f>57510000</f>
        <v>57510000</v>
      </c>
      <c r="H226" s="1705"/>
      <c r="I226" s="1705">
        <f>+G226+H226</f>
        <v>57510000</v>
      </c>
      <c r="J226" s="675"/>
      <c r="K226" s="162" t="s">
        <v>653</v>
      </c>
      <c r="L226" s="550"/>
      <c r="M226" s="550"/>
      <c r="N226" s="550"/>
      <c r="O226" s="550"/>
      <c r="P226" s="550"/>
      <c r="Q226" s="550"/>
      <c r="R226" s="550"/>
      <c r="S226" s="550"/>
      <c r="T226" s="550"/>
      <c r="U226" s="550"/>
      <c r="V226" s="550"/>
      <c r="W226" s="550"/>
    </row>
    <row r="227" spans="1:23" s="860" customFormat="1">
      <c r="A227" s="855"/>
      <c r="B227" s="856" t="s">
        <v>148</v>
      </c>
      <c r="C227" s="1996" t="s">
        <v>1044</v>
      </c>
      <c r="D227" s="1952"/>
      <c r="E227" s="1459">
        <v>92000</v>
      </c>
      <c r="F227" s="1460"/>
      <c r="G227" s="1706">
        <v>44000</v>
      </c>
      <c r="H227" s="1706"/>
      <c r="I227" s="1708">
        <f>+G227+H227</f>
        <v>44000</v>
      </c>
      <c r="J227" s="857"/>
      <c r="K227" s="858"/>
      <c r="L227" s="859"/>
      <c r="M227" s="859"/>
      <c r="N227" s="859"/>
      <c r="O227" s="859"/>
      <c r="P227" s="859"/>
      <c r="Q227" s="859"/>
      <c r="R227" s="859"/>
      <c r="S227" s="859"/>
      <c r="T227" s="859"/>
      <c r="U227" s="859"/>
      <c r="V227" s="859"/>
      <c r="W227" s="859"/>
    </row>
    <row r="228" spans="1:23" s="204" customFormat="1">
      <c r="A228" s="169" t="s">
        <v>203</v>
      </c>
      <c r="B228" s="198" t="s">
        <v>204</v>
      </c>
      <c r="C228" s="1988" t="s">
        <v>81</v>
      </c>
      <c r="D228" s="1944">
        <f t="shared" ref="D228:I228" si="63">SUM(D229)</f>
        <v>1200000</v>
      </c>
      <c r="E228" s="1441">
        <f t="shared" si="63"/>
        <v>1200000</v>
      </c>
      <c r="F228" s="1442">
        <f t="shared" si="63"/>
        <v>1220000</v>
      </c>
      <c r="G228" s="1694">
        <f t="shared" si="63"/>
        <v>1200000</v>
      </c>
      <c r="H228" s="1694">
        <f t="shared" si="63"/>
        <v>0</v>
      </c>
      <c r="I228" s="1694">
        <f t="shared" si="63"/>
        <v>1200000</v>
      </c>
      <c r="J228" s="671"/>
      <c r="K228" s="671">
        <f>H226/G226%</f>
        <v>0</v>
      </c>
      <c r="L228" s="671" t="e">
        <f>I226/H226%</f>
        <v>#DIV/0!</v>
      </c>
      <c r="M228" s="671" t="e">
        <f>#REF!/I226%</f>
        <v>#REF!</v>
      </c>
      <c r="N228" s="639"/>
      <c r="O228" s="639"/>
      <c r="P228" s="575"/>
      <c r="Q228" s="575"/>
      <c r="R228" s="575"/>
      <c r="S228" s="575"/>
      <c r="T228" s="575"/>
      <c r="U228" s="575"/>
      <c r="V228" s="575"/>
      <c r="W228" s="575"/>
    </row>
    <row r="229" spans="1:23">
      <c r="A229" s="631"/>
      <c r="B229" s="165" t="s">
        <v>145</v>
      </c>
      <c r="C229" s="1987" t="s">
        <v>205</v>
      </c>
      <c r="D229" s="1946">
        <v>1200000</v>
      </c>
      <c r="E229" s="1443">
        <v>1200000</v>
      </c>
      <c r="F229" s="1444">
        <v>1220000</v>
      </c>
      <c r="G229" s="1696">
        <v>1200000</v>
      </c>
      <c r="H229" s="1696"/>
      <c r="I229" s="1696">
        <f>+G229+H229</f>
        <v>1200000</v>
      </c>
      <c r="J229" s="675"/>
      <c r="K229" s="671">
        <f>H228/G228%</f>
        <v>0</v>
      </c>
      <c r="L229" s="671" t="e">
        <f>I229/H229%</f>
        <v>#DIV/0!</v>
      </c>
      <c r="M229" s="671" t="e">
        <f>#REF!/I229%</f>
        <v>#REF!</v>
      </c>
      <c r="N229" s="640"/>
      <c r="O229" s="640"/>
      <c r="P229" s="550"/>
      <c r="Q229" s="550"/>
      <c r="R229" s="550"/>
      <c r="S229" s="550"/>
      <c r="T229" s="550"/>
      <c r="U229" s="550"/>
      <c r="V229" s="550"/>
      <c r="W229" s="550"/>
    </row>
    <row r="230" spans="1:23" s="204" customFormat="1">
      <c r="A230" s="169" t="s">
        <v>206</v>
      </c>
      <c r="B230" s="198" t="s">
        <v>207</v>
      </c>
      <c r="C230" s="1988" t="s">
        <v>1049</v>
      </c>
      <c r="D230" s="1949">
        <f>SUM(D231:D231)</f>
        <v>9392000</v>
      </c>
      <c r="E230" s="1453">
        <f>SUM(E231:E232)</f>
        <v>9392000</v>
      </c>
      <c r="F230" s="1454">
        <f>SUM(F231:F232)</f>
        <v>11866000</v>
      </c>
      <c r="G230" s="760">
        <f>SUM(G231:G232)</f>
        <v>11100000</v>
      </c>
      <c r="H230" s="760">
        <f>SUM(H231:H232)</f>
        <v>0</v>
      </c>
      <c r="I230" s="760">
        <f>SUM(I231:I232)</f>
        <v>11100000</v>
      </c>
      <c r="J230" s="671"/>
      <c r="K230" s="671"/>
      <c r="L230" s="642"/>
      <c r="M230" s="579"/>
      <c r="N230" s="579"/>
      <c r="O230" s="579"/>
      <c r="P230" s="575"/>
      <c r="Q230" s="575"/>
      <c r="R230" s="575"/>
      <c r="S230" s="575"/>
      <c r="T230" s="575"/>
      <c r="U230" s="575"/>
      <c r="V230" s="575"/>
      <c r="W230" s="575"/>
    </row>
    <row r="231" spans="1:23">
      <c r="A231" s="631"/>
      <c r="B231" s="165" t="s">
        <v>145</v>
      </c>
      <c r="C231" s="1987" t="s">
        <v>208</v>
      </c>
      <c r="D231" s="1946">
        <v>9392000</v>
      </c>
      <c r="E231" s="1443">
        <f>9392000-30000</f>
        <v>9362000</v>
      </c>
      <c r="F231" s="1444">
        <v>11866000</v>
      </c>
      <c r="G231" s="1707">
        <f>11092000</f>
        <v>11092000</v>
      </c>
      <c r="H231" s="1707"/>
      <c r="I231" s="1707">
        <f>+G231+H231</f>
        <v>11092000</v>
      </c>
      <c r="J231" s="675"/>
      <c r="K231" s="675"/>
      <c r="L231" s="550"/>
      <c r="M231" s="550"/>
      <c r="N231" s="550"/>
      <c r="O231" s="550"/>
      <c r="P231" s="550"/>
      <c r="Q231" s="550"/>
      <c r="R231" s="550"/>
      <c r="S231" s="550"/>
      <c r="T231" s="550"/>
      <c r="U231" s="550"/>
      <c r="V231" s="550"/>
      <c r="W231" s="550"/>
    </row>
    <row r="232" spans="1:23" s="860" customFormat="1">
      <c r="A232" s="855"/>
      <c r="B232" s="856" t="s">
        <v>148</v>
      </c>
      <c r="C232" s="1996" t="s">
        <v>1045</v>
      </c>
      <c r="D232" s="1952"/>
      <c r="E232" s="1459">
        <v>30000</v>
      </c>
      <c r="F232" s="1461"/>
      <c r="G232" s="1708">
        <v>8000</v>
      </c>
      <c r="H232" s="1708"/>
      <c r="I232" s="1708">
        <f>+G232+H232</f>
        <v>8000</v>
      </c>
      <c r="J232" s="857"/>
      <c r="K232" s="857"/>
      <c r="L232" s="859"/>
      <c r="M232" s="859"/>
      <c r="N232" s="859"/>
      <c r="O232" s="859"/>
      <c r="P232" s="859"/>
      <c r="Q232" s="859"/>
      <c r="R232" s="859"/>
      <c r="S232" s="859"/>
      <c r="T232" s="859"/>
      <c r="U232" s="859"/>
      <c r="V232" s="859"/>
      <c r="W232" s="859"/>
    </row>
    <row r="233" spans="1:23" s="204" customFormat="1">
      <c r="A233" s="169" t="s">
        <v>209</v>
      </c>
      <c r="B233" s="201" t="s">
        <v>210</v>
      </c>
      <c r="C233" s="1988" t="s">
        <v>1049</v>
      </c>
      <c r="D233" s="1949">
        <f>SUM(D234:D234)</f>
        <v>1311000</v>
      </c>
      <c r="E233" s="1453">
        <f>SUM(E234:E235)</f>
        <v>1311000</v>
      </c>
      <c r="F233" s="1454">
        <f>SUM(F234:F235)</f>
        <v>1660000</v>
      </c>
      <c r="G233" s="760">
        <f>SUM(G234:G235)</f>
        <v>1544000</v>
      </c>
      <c r="H233" s="760">
        <f>SUM(H234:H235)</f>
        <v>0</v>
      </c>
      <c r="I233" s="760">
        <f>SUM(I234:I235)</f>
        <v>1544000</v>
      </c>
      <c r="J233" s="671"/>
      <c r="K233" s="671"/>
      <c r="L233" s="575"/>
      <c r="M233" s="575"/>
      <c r="N233" s="575"/>
      <c r="O233" s="575"/>
      <c r="P233" s="575"/>
      <c r="Q233" s="575"/>
      <c r="R233" s="575"/>
      <c r="S233" s="579"/>
      <c r="T233" s="575"/>
      <c r="U233" s="575"/>
      <c r="V233" s="575"/>
      <c r="W233" s="575"/>
    </row>
    <row r="234" spans="1:23" ht="15" customHeight="1">
      <c r="A234" s="631"/>
      <c r="B234" s="165" t="s">
        <v>145</v>
      </c>
      <c r="C234" s="1987" t="s">
        <v>211</v>
      </c>
      <c r="D234" s="1946">
        <v>1311000</v>
      </c>
      <c r="E234" s="1443">
        <f>1311000-18000</f>
        <v>1293000</v>
      </c>
      <c r="F234" s="1444">
        <v>1660000</v>
      </c>
      <c r="G234" s="1707">
        <f>1543000</f>
        <v>1543000</v>
      </c>
      <c r="H234" s="1707"/>
      <c r="I234" s="1707">
        <f>+G234+H234</f>
        <v>1543000</v>
      </c>
      <c r="J234" s="675"/>
      <c r="K234" s="675"/>
      <c r="L234" s="641"/>
      <c r="M234" s="641"/>
      <c r="N234" s="641"/>
      <c r="O234" s="641"/>
      <c r="P234" s="550"/>
      <c r="Q234" s="550"/>
      <c r="R234" s="550"/>
      <c r="S234" s="550"/>
      <c r="T234" s="550"/>
      <c r="U234" s="550"/>
      <c r="V234" s="550"/>
      <c r="W234" s="550"/>
    </row>
    <row r="235" spans="1:23" s="860" customFormat="1" ht="15" customHeight="1">
      <c r="A235" s="855"/>
      <c r="B235" s="856" t="s">
        <v>148</v>
      </c>
      <c r="C235" s="1996" t="s">
        <v>1046</v>
      </c>
      <c r="D235" s="1952"/>
      <c r="E235" s="1459">
        <v>18000</v>
      </c>
      <c r="F235" s="1461"/>
      <c r="G235" s="1708">
        <v>1000</v>
      </c>
      <c r="H235" s="1708"/>
      <c r="I235" s="1708">
        <f>+G235+H235</f>
        <v>1000</v>
      </c>
      <c r="J235" s="857"/>
      <c r="K235" s="857"/>
      <c r="L235" s="861"/>
      <c r="M235" s="861"/>
      <c r="N235" s="861"/>
      <c r="O235" s="861"/>
      <c r="P235" s="859"/>
      <c r="Q235" s="859"/>
      <c r="R235" s="859"/>
      <c r="S235" s="859"/>
      <c r="T235" s="859"/>
      <c r="U235" s="859"/>
      <c r="V235" s="859"/>
      <c r="W235" s="859"/>
    </row>
    <row r="236" spans="1:23" s="204" customFormat="1">
      <c r="A236" s="169" t="s">
        <v>212</v>
      </c>
      <c r="B236" s="198" t="s">
        <v>213</v>
      </c>
      <c r="C236" s="1988" t="s">
        <v>81</v>
      </c>
      <c r="D236" s="1944">
        <f>SUM(D237:D237)</f>
        <v>46477000</v>
      </c>
      <c r="E236" s="1441">
        <f>SUM(E237:E237)</f>
        <v>46462000</v>
      </c>
      <c r="F236" s="1442">
        <f>SUM(F237:F237)</f>
        <v>54275726</v>
      </c>
      <c r="G236" s="1694">
        <f>SUM(G239,G252)</f>
        <v>83937000</v>
      </c>
      <c r="H236" s="1694">
        <f>SUM(H239,H252)</f>
        <v>0</v>
      </c>
      <c r="I236" s="1694">
        <f>SUM(I239,I252)</f>
        <v>83937000</v>
      </c>
      <c r="J236" s="671"/>
      <c r="K236" s="671"/>
      <c r="L236" s="575"/>
      <c r="M236" s="575"/>
      <c r="N236" s="575"/>
      <c r="O236" s="575"/>
      <c r="P236" s="575"/>
      <c r="Q236" s="575"/>
      <c r="R236" s="575"/>
      <c r="S236" s="575"/>
      <c r="T236" s="575"/>
      <c r="U236" s="575"/>
      <c r="V236" s="575"/>
      <c r="W236" s="575"/>
    </row>
    <row r="237" spans="1:23" s="204" customFormat="1">
      <c r="A237" s="662"/>
      <c r="B237" s="218" t="s">
        <v>145</v>
      </c>
      <c r="C237" s="1988" t="s">
        <v>81</v>
      </c>
      <c r="D237" s="1944">
        <f>SUM(D239,D252)</f>
        <v>46477000</v>
      </c>
      <c r="E237" s="1441">
        <f>SUM(E239,E252)</f>
        <v>46462000</v>
      </c>
      <c r="F237" s="1442">
        <f>SUM(F239,F252)</f>
        <v>54275726</v>
      </c>
      <c r="G237" s="1694">
        <f>G239-G247+G252</f>
        <v>83927000</v>
      </c>
      <c r="H237" s="1694">
        <f>H239-H247+H252</f>
        <v>0</v>
      </c>
      <c r="I237" s="1694">
        <f>I239-I247+I252</f>
        <v>83927000</v>
      </c>
      <c r="J237" s="671"/>
      <c r="K237" s="671"/>
      <c r="L237" s="642"/>
      <c r="M237" s="642"/>
      <c r="N237" s="579"/>
      <c r="O237" s="579"/>
      <c r="P237" s="575"/>
      <c r="Q237" s="575"/>
      <c r="R237" s="575"/>
      <c r="S237" s="575"/>
      <c r="T237" s="575"/>
      <c r="U237" s="575"/>
      <c r="V237" s="575"/>
      <c r="W237" s="575"/>
    </row>
    <row r="238" spans="1:23">
      <c r="A238" s="631"/>
      <c r="B238" s="181" t="s">
        <v>82</v>
      </c>
      <c r="C238" s="1989"/>
      <c r="D238" s="1953"/>
      <c r="E238" s="1449"/>
      <c r="F238" s="1450"/>
      <c r="G238" s="1700"/>
      <c r="H238" s="1700"/>
      <c r="I238" s="1700"/>
      <c r="J238" s="675"/>
      <c r="K238" s="675"/>
      <c r="L238" s="550"/>
      <c r="M238" s="550"/>
      <c r="N238" s="550"/>
      <c r="O238" s="550"/>
      <c r="P238" s="550"/>
      <c r="Q238" s="550"/>
      <c r="R238" s="550"/>
      <c r="S238" s="550"/>
      <c r="T238" s="550"/>
      <c r="U238" s="550"/>
      <c r="V238" s="550"/>
      <c r="W238" s="550"/>
    </row>
    <row r="239" spans="1:23" s="204" customFormat="1">
      <c r="A239" s="169" t="s">
        <v>214</v>
      </c>
      <c r="B239" s="198" t="s">
        <v>215</v>
      </c>
      <c r="C239" s="1988" t="s">
        <v>81</v>
      </c>
      <c r="D239" s="1944">
        <f>SUM(D242:D245)+D248+D249+D250+D251</f>
        <v>16604000</v>
      </c>
      <c r="E239" s="1441">
        <f>SUM(E242:E245)+E248+E249+E250+E251</f>
        <v>17554000</v>
      </c>
      <c r="F239" s="1442">
        <f>SUM(F242:F245)+F248+F249+F250+F251</f>
        <v>17687000</v>
      </c>
      <c r="G239" s="1694">
        <f>SUM(G240:G241)</f>
        <v>47348000</v>
      </c>
      <c r="H239" s="1694">
        <f>SUM(H240:H241)</f>
        <v>0</v>
      </c>
      <c r="I239" s="1694">
        <f>SUM(I240:I241)</f>
        <v>47348000</v>
      </c>
      <c r="J239" s="671"/>
      <c r="K239" s="671">
        <f>52282000*5%</f>
        <v>2614100</v>
      </c>
      <c r="L239" s="575"/>
      <c r="M239" s="575"/>
      <c r="N239" s="575"/>
      <c r="O239" s="575"/>
      <c r="P239" s="575"/>
      <c r="Q239" s="575"/>
      <c r="R239" s="575"/>
      <c r="S239" s="575"/>
      <c r="T239" s="575"/>
      <c r="U239" s="575"/>
      <c r="V239" s="575"/>
      <c r="W239" s="575"/>
    </row>
    <row r="240" spans="1:23" s="2081" customFormat="1">
      <c r="A240" s="2071"/>
      <c r="B240" s="2072" t="s">
        <v>1126</v>
      </c>
      <c r="C240" s="2073" t="s">
        <v>216</v>
      </c>
      <c r="D240" s="2074"/>
      <c r="E240" s="2075"/>
      <c r="F240" s="2076"/>
      <c r="G240" s="2077">
        <f>SUM(G242:G246)+G248+G249+G250+G251</f>
        <v>47338000</v>
      </c>
      <c r="H240" s="2077">
        <f>SUM(H242:H246)+H248+H249+H250+H251</f>
        <v>0</v>
      </c>
      <c r="I240" s="2077">
        <f>SUM(I242:I246)+I248+I249+I250+I251</f>
        <v>47338000</v>
      </c>
      <c r="J240" s="2078"/>
      <c r="K240" s="2078"/>
      <c r="L240" s="2079"/>
      <c r="M240" s="2079"/>
      <c r="N240" s="2079"/>
      <c r="O240" s="2079"/>
      <c r="P240" s="2080"/>
      <c r="Q240" s="2080"/>
      <c r="R240" s="2080"/>
      <c r="S240" s="2080"/>
      <c r="T240" s="2080"/>
      <c r="U240" s="2080"/>
      <c r="V240" s="2080"/>
      <c r="W240" s="2080"/>
    </row>
    <row r="241" spans="1:23" s="860" customFormat="1" ht="15" customHeight="1">
      <c r="A241" s="855"/>
      <c r="B241" s="856" t="s">
        <v>148</v>
      </c>
      <c r="C241" s="1996" t="s">
        <v>1122</v>
      </c>
      <c r="D241" s="1952"/>
      <c r="E241" s="1459"/>
      <c r="F241" s="1461"/>
      <c r="G241" s="1708">
        <f>G247</f>
        <v>10000</v>
      </c>
      <c r="H241" s="1708">
        <f>H247</f>
        <v>0</v>
      </c>
      <c r="I241" s="1708">
        <f>I247</f>
        <v>10000</v>
      </c>
      <c r="J241" s="857"/>
      <c r="K241" s="857"/>
      <c r="L241" s="861"/>
      <c r="M241" s="861"/>
      <c r="N241" s="861"/>
      <c r="O241" s="861"/>
      <c r="P241" s="859"/>
      <c r="Q241" s="859"/>
      <c r="R241" s="859"/>
      <c r="S241" s="859"/>
      <c r="T241" s="859"/>
      <c r="U241" s="859"/>
      <c r="V241" s="859"/>
      <c r="W241" s="859"/>
    </row>
    <row r="242" spans="1:23">
      <c r="A242" s="631"/>
      <c r="B242" s="208" t="s">
        <v>217</v>
      </c>
      <c r="C242" s="2036" t="s">
        <v>218</v>
      </c>
      <c r="D242" s="161">
        <v>3225000</v>
      </c>
      <c r="E242" s="1443">
        <v>4205000</v>
      </c>
      <c r="F242" s="1444">
        <v>4170000</v>
      </c>
      <c r="G242" s="1695">
        <v>4189000</v>
      </c>
      <c r="H242" s="1695"/>
      <c r="I242" s="1695">
        <f>+H242+G242</f>
        <v>4189000</v>
      </c>
      <c r="J242" s="675"/>
      <c r="K242" s="675">
        <f>E226+2614100</f>
        <v>54804100</v>
      </c>
      <c r="L242" s="550"/>
      <c r="M242" s="550"/>
      <c r="N242" s="550"/>
      <c r="O242" s="550"/>
      <c r="P242" s="550"/>
      <c r="Q242" s="550"/>
      <c r="R242" s="550"/>
      <c r="S242" s="550"/>
      <c r="T242" s="550"/>
      <c r="U242" s="550"/>
      <c r="V242" s="550"/>
      <c r="W242" s="550"/>
    </row>
    <row r="243" spans="1:23">
      <c r="A243" s="631"/>
      <c r="B243" s="208" t="s">
        <v>219</v>
      </c>
      <c r="C243" s="2036" t="s">
        <v>220</v>
      </c>
      <c r="D243" s="161">
        <v>1612000</v>
      </c>
      <c r="E243" s="1462">
        <v>1612000</v>
      </c>
      <c r="F243" s="1463">
        <v>1630000</v>
      </c>
      <c r="G243" s="1709">
        <v>1630000</v>
      </c>
      <c r="H243" s="1709"/>
      <c r="I243" s="1695">
        <f>+H243+G243</f>
        <v>1630000</v>
      </c>
      <c r="J243" s="675"/>
      <c r="K243" s="675">
        <f>K242*101.8%</f>
        <v>55790573.800000004</v>
      </c>
      <c r="L243" s="550"/>
      <c r="M243" s="589"/>
      <c r="N243" s="550"/>
      <c r="O243" s="589"/>
      <c r="P243" s="550"/>
      <c r="Q243" s="550"/>
      <c r="R243" s="550"/>
      <c r="S243" s="550"/>
      <c r="T243" s="550"/>
      <c r="U243" s="550"/>
      <c r="V243" s="550"/>
      <c r="W243" s="550"/>
    </row>
    <row r="244" spans="1:23">
      <c r="A244" s="631"/>
      <c r="B244" s="208" t="s">
        <v>63</v>
      </c>
      <c r="C244" s="2004" t="s">
        <v>221</v>
      </c>
      <c r="D244" s="161">
        <v>1616000</v>
      </c>
      <c r="E244" s="1462">
        <v>1596000</v>
      </c>
      <c r="F244" s="1463">
        <v>1619000</v>
      </c>
      <c r="G244" s="1709">
        <v>1619000</v>
      </c>
      <c r="H244" s="1709"/>
      <c r="I244" s="1695">
        <f>+H244+G244</f>
        <v>1619000</v>
      </c>
      <c r="J244" s="675"/>
      <c r="K244" s="675">
        <f>K243*102.5%</f>
        <v>57185338.145000003</v>
      </c>
      <c r="L244" s="550"/>
      <c r="M244" s="643"/>
      <c r="N244" s="550"/>
      <c r="O244" s="550"/>
      <c r="P244" s="550"/>
      <c r="Q244" s="550"/>
      <c r="R244" s="550"/>
      <c r="S244" s="550"/>
      <c r="T244" s="550"/>
      <c r="U244" s="550"/>
      <c r="V244" s="550"/>
      <c r="W244" s="550"/>
    </row>
    <row r="245" spans="1:23">
      <c r="A245" s="631"/>
      <c r="B245" s="208" t="s">
        <v>222</v>
      </c>
      <c r="C245" s="2036" t="s">
        <v>223</v>
      </c>
      <c r="D245" s="161">
        <v>856000</v>
      </c>
      <c r="E245" s="1462">
        <v>856000</v>
      </c>
      <c r="F245" s="1463">
        <v>874000</v>
      </c>
      <c r="G245" s="1709">
        <v>879000</v>
      </c>
      <c r="H245" s="1709"/>
      <c r="I245" s="1695">
        <f>+H245+G245</f>
        <v>879000</v>
      </c>
      <c r="J245" s="675"/>
      <c r="K245" s="675">
        <f>K244*102.5%</f>
        <v>58614971.598624997</v>
      </c>
      <c r="L245" s="550"/>
      <c r="M245" s="589"/>
      <c r="N245" s="550"/>
      <c r="O245" s="550"/>
      <c r="P245" s="550"/>
      <c r="Q245" s="589"/>
      <c r="R245" s="550"/>
      <c r="S245" s="550"/>
      <c r="T245" s="550"/>
      <c r="U245" s="550"/>
      <c r="V245" s="550"/>
      <c r="W245" s="550"/>
    </row>
    <row r="246" spans="1:23">
      <c r="A246" s="631"/>
      <c r="B246" s="208" t="s">
        <v>224</v>
      </c>
      <c r="C246" s="2036" t="s">
        <v>225</v>
      </c>
      <c r="D246" s="1954">
        <f>30585000-D247</f>
        <v>30585000</v>
      </c>
      <c r="E246" s="1462">
        <f>28955000-E247</f>
        <v>28915640</v>
      </c>
      <c r="F246" s="1463">
        <v>29651000</v>
      </c>
      <c r="G246" s="1709">
        <v>29639000</v>
      </c>
      <c r="H246" s="1709"/>
      <c r="I246" s="1709">
        <f t="shared" ref="I246:I251" si="64">+G246+H246</f>
        <v>29639000</v>
      </c>
      <c r="J246" s="675"/>
      <c r="K246" s="675"/>
      <c r="L246" s="641"/>
      <c r="M246" s="641"/>
      <c r="N246" s="641"/>
      <c r="O246" s="641"/>
      <c r="P246" s="550"/>
      <c r="Q246" s="550"/>
      <c r="R246" s="550"/>
      <c r="S246" s="550"/>
      <c r="T246" s="550"/>
      <c r="U246" s="550"/>
      <c r="V246" s="550"/>
      <c r="W246" s="550"/>
    </row>
    <row r="247" spans="1:23">
      <c r="A247" s="855"/>
      <c r="B247" s="862" t="s">
        <v>1050</v>
      </c>
      <c r="C247" s="1996" t="s">
        <v>1047</v>
      </c>
      <c r="D247" s="1955"/>
      <c r="E247" s="1464">
        <v>39360</v>
      </c>
      <c r="F247" s="1465"/>
      <c r="G247" s="2035">
        <v>10000</v>
      </c>
      <c r="H247" s="2035"/>
      <c r="I247" s="1708">
        <f t="shared" si="64"/>
        <v>10000</v>
      </c>
      <c r="J247" s="675"/>
      <c r="K247" s="675"/>
      <c r="L247" s="641"/>
      <c r="M247" s="641"/>
      <c r="N247" s="641"/>
      <c r="O247" s="641"/>
      <c r="P247" s="550"/>
      <c r="Q247" s="550"/>
      <c r="R247" s="550"/>
      <c r="S247" s="550"/>
      <c r="T247" s="550"/>
      <c r="U247" s="550"/>
      <c r="V247" s="550"/>
      <c r="W247" s="550"/>
    </row>
    <row r="248" spans="1:23">
      <c r="A248" s="631"/>
      <c r="B248" s="208" t="s">
        <v>226</v>
      </c>
      <c r="C248" s="1987" t="s">
        <v>227</v>
      </c>
      <c r="D248" s="161"/>
      <c r="E248" s="1449"/>
      <c r="F248" s="1446"/>
      <c r="G248" s="1697"/>
      <c r="H248" s="1697"/>
      <c r="I248" s="1709">
        <f t="shared" si="64"/>
        <v>0</v>
      </c>
      <c r="J248" s="675"/>
      <c r="K248" s="675"/>
      <c r="L248" s="641"/>
      <c r="M248" s="641"/>
      <c r="N248" s="641"/>
      <c r="O248" s="641"/>
      <c r="P248" s="550"/>
      <c r="Q248" s="550"/>
      <c r="R248" s="550"/>
      <c r="S248" s="550"/>
      <c r="T248" s="550"/>
      <c r="U248" s="550"/>
      <c r="V248" s="550"/>
      <c r="W248" s="550"/>
    </row>
    <row r="249" spans="1:23">
      <c r="A249" s="631"/>
      <c r="B249" s="778" t="s">
        <v>1009</v>
      </c>
      <c r="C249" s="2036" t="s">
        <v>229</v>
      </c>
      <c r="D249" s="1956">
        <v>2755000</v>
      </c>
      <c r="E249" s="1462">
        <v>2745000</v>
      </c>
      <c r="F249" s="1463">
        <v>2740000</v>
      </c>
      <c r="G249" s="1709">
        <v>2740000</v>
      </c>
      <c r="H249" s="1709"/>
      <c r="I249" s="1709">
        <f t="shared" si="64"/>
        <v>2740000</v>
      </c>
      <c r="J249" s="675"/>
      <c r="K249" s="675"/>
      <c r="L249" s="641"/>
      <c r="M249" s="641"/>
      <c r="N249" s="641"/>
      <c r="O249" s="641"/>
      <c r="P249" s="550"/>
      <c r="Q249" s="550"/>
      <c r="R249" s="550"/>
      <c r="S249" s="550"/>
      <c r="T249" s="550"/>
      <c r="U249" s="550"/>
      <c r="V249" s="550"/>
      <c r="W249" s="550"/>
    </row>
    <row r="250" spans="1:23">
      <c r="A250" s="631"/>
      <c r="B250" s="208" t="s">
        <v>231</v>
      </c>
      <c r="C250" s="2036" t="s">
        <v>232</v>
      </c>
      <c r="D250" s="1956">
        <v>27000</v>
      </c>
      <c r="E250" s="1462">
        <v>27000</v>
      </c>
      <c r="F250" s="1463">
        <v>27000</v>
      </c>
      <c r="G250" s="1709">
        <v>27000</v>
      </c>
      <c r="H250" s="1709"/>
      <c r="I250" s="1709">
        <f t="shared" si="64"/>
        <v>27000</v>
      </c>
      <c r="J250" s="675"/>
      <c r="K250" s="675"/>
      <c r="L250" s="550"/>
      <c r="M250" s="550"/>
      <c r="N250" s="550"/>
      <c r="O250" s="550"/>
      <c r="P250" s="550"/>
      <c r="Q250" s="550"/>
      <c r="R250" s="550"/>
      <c r="S250" s="550"/>
      <c r="T250" s="550"/>
      <c r="U250" s="550"/>
      <c r="V250" s="550"/>
      <c r="W250" s="550"/>
    </row>
    <row r="251" spans="1:23">
      <c r="A251" s="631"/>
      <c r="B251" s="208" t="s">
        <v>233</v>
      </c>
      <c r="C251" s="2036" t="s">
        <v>234</v>
      </c>
      <c r="D251" s="1956">
        <v>6513000</v>
      </c>
      <c r="E251" s="1462">
        <v>6513000</v>
      </c>
      <c r="F251" s="1463">
        <v>6627000</v>
      </c>
      <c r="G251" s="1709">
        <v>6615000</v>
      </c>
      <c r="H251" s="1709"/>
      <c r="I251" s="1709">
        <f t="shared" si="64"/>
        <v>6615000</v>
      </c>
      <c r="J251" s="675"/>
      <c r="K251" s="674"/>
      <c r="L251" s="644"/>
      <c r="M251" s="644"/>
      <c r="N251" s="550"/>
      <c r="O251" s="550"/>
      <c r="P251" s="550"/>
      <c r="Q251" s="550"/>
      <c r="R251" s="550"/>
      <c r="S251" s="550"/>
      <c r="T251" s="550"/>
      <c r="U251" s="550"/>
      <c r="V251" s="550"/>
      <c r="W251" s="550"/>
    </row>
    <row r="252" spans="1:23" s="204" customFormat="1">
      <c r="A252" s="169" t="s">
        <v>235</v>
      </c>
      <c r="B252" s="198" t="s">
        <v>236</v>
      </c>
      <c r="C252" s="1988" t="s">
        <v>81</v>
      </c>
      <c r="D252" s="1944">
        <f t="shared" ref="D252:I252" si="65">D253+D270</f>
        <v>29873000</v>
      </c>
      <c r="E252" s="1441">
        <f t="shared" si="65"/>
        <v>28908000</v>
      </c>
      <c r="F252" s="1442">
        <f t="shared" si="65"/>
        <v>36588726</v>
      </c>
      <c r="G252" s="1694">
        <f t="shared" si="65"/>
        <v>36589000</v>
      </c>
      <c r="H252" s="1694">
        <f t="shared" si="65"/>
        <v>0</v>
      </c>
      <c r="I252" s="1694">
        <f t="shared" si="65"/>
        <v>36589000</v>
      </c>
      <c r="J252" s="671"/>
      <c r="K252" s="676"/>
      <c r="L252" s="645"/>
      <c r="M252" s="645"/>
      <c r="N252" s="575"/>
      <c r="O252" s="575"/>
      <c r="P252" s="575"/>
      <c r="Q252" s="575"/>
      <c r="R252" s="575"/>
      <c r="S252" s="575"/>
      <c r="T252" s="575"/>
      <c r="U252" s="575"/>
      <c r="V252" s="575"/>
      <c r="W252" s="575"/>
    </row>
    <row r="253" spans="1:23" s="204" customFormat="1">
      <c r="A253" s="662"/>
      <c r="B253" s="198" t="s">
        <v>237</v>
      </c>
      <c r="C253" s="1997" t="s">
        <v>238</v>
      </c>
      <c r="D253" s="1949">
        <f t="shared" ref="D253:I253" si="66">SUM(D254:D269)</f>
        <v>8883000</v>
      </c>
      <c r="E253" s="1453">
        <f t="shared" si="66"/>
        <v>8883000</v>
      </c>
      <c r="F253" s="1454">
        <f t="shared" si="66"/>
        <v>11146726</v>
      </c>
      <c r="G253" s="1702">
        <f t="shared" si="66"/>
        <v>11147000</v>
      </c>
      <c r="H253" s="1702">
        <f t="shared" si="66"/>
        <v>0</v>
      </c>
      <c r="I253" s="1702">
        <f t="shared" si="66"/>
        <v>11147000</v>
      </c>
      <c r="J253" s="671"/>
      <c r="K253" s="676"/>
      <c r="L253" s="645"/>
      <c r="M253" s="645"/>
      <c r="N253" s="579"/>
      <c r="O253" s="579"/>
      <c r="P253" s="575"/>
      <c r="Q253" s="590"/>
      <c r="R253" s="575"/>
      <c r="S253" s="575"/>
      <c r="T253" s="575"/>
      <c r="U253" s="575"/>
      <c r="V253" s="575"/>
      <c r="W253" s="575"/>
    </row>
    <row r="254" spans="1:23" s="221" customFormat="1">
      <c r="A254" s="672"/>
      <c r="B254" s="219" t="s">
        <v>239</v>
      </c>
      <c r="C254" s="220" t="s">
        <v>240</v>
      </c>
      <c r="D254" s="1943">
        <v>1707000</v>
      </c>
      <c r="E254" s="1443">
        <v>1707000</v>
      </c>
      <c r="F254" s="1444">
        <v>2040000</v>
      </c>
      <c r="G254" s="1710">
        <v>2040000</v>
      </c>
      <c r="H254" s="1710"/>
      <c r="I254" s="1710">
        <f>+G254+H254</f>
        <v>2040000</v>
      </c>
      <c r="J254" s="700"/>
      <c r="K254" s="677"/>
      <c r="L254" s="646"/>
      <c r="M254" s="646"/>
      <c r="N254" s="647"/>
      <c r="O254" s="580"/>
      <c r="P254" s="580"/>
      <c r="Q254" s="580"/>
      <c r="R254" s="580"/>
      <c r="S254" s="580"/>
      <c r="T254" s="580"/>
      <c r="U254" s="580"/>
      <c r="V254" s="580"/>
      <c r="W254" s="580"/>
    </row>
    <row r="255" spans="1:23">
      <c r="A255" s="631"/>
      <c r="B255" s="222" t="s">
        <v>241</v>
      </c>
      <c r="C255" s="1987" t="s">
        <v>242</v>
      </c>
      <c r="D255" s="1943">
        <v>120000</v>
      </c>
      <c r="E255" s="1443">
        <v>120000</v>
      </c>
      <c r="F255" s="1444">
        <v>120000</v>
      </c>
      <c r="G255" s="1710">
        <v>120000</v>
      </c>
      <c r="H255" s="1710"/>
      <c r="I255" s="1710">
        <f t="shared" ref="I255:I271" si="67">+G255+H255</f>
        <v>120000</v>
      </c>
      <c r="J255" s="675"/>
      <c r="K255" s="674"/>
      <c r="L255" s="646"/>
      <c r="M255" s="644"/>
      <c r="N255" s="550"/>
      <c r="O255" s="550"/>
      <c r="P255" s="550"/>
      <c r="Q255" s="550"/>
      <c r="R255" s="550"/>
      <c r="S255" s="550"/>
      <c r="T255" s="550"/>
      <c r="U255" s="550"/>
      <c r="V255" s="550"/>
      <c r="W255" s="550"/>
    </row>
    <row r="256" spans="1:23">
      <c r="A256" s="631"/>
      <c r="B256" s="208" t="s">
        <v>243</v>
      </c>
      <c r="C256" s="1987" t="s">
        <v>244</v>
      </c>
      <c r="D256" s="1943">
        <v>347000</v>
      </c>
      <c r="E256" s="1443">
        <v>347000</v>
      </c>
      <c r="F256" s="1444">
        <v>347000</v>
      </c>
      <c r="G256" s="1705">
        <v>347000</v>
      </c>
      <c r="H256" s="1705"/>
      <c r="I256" s="1710">
        <f t="shared" si="67"/>
        <v>347000</v>
      </c>
      <c r="J256" s="675"/>
      <c r="K256" s="674"/>
      <c r="L256" s="646"/>
      <c r="M256" s="644"/>
      <c r="N256" s="550"/>
      <c r="O256" s="550"/>
      <c r="P256" s="550"/>
      <c r="Q256" s="550"/>
      <c r="R256" s="550"/>
      <c r="S256" s="550"/>
      <c r="T256" s="550"/>
      <c r="U256" s="550"/>
      <c r="V256" s="550"/>
      <c r="W256" s="550"/>
    </row>
    <row r="257" spans="1:23">
      <c r="A257" s="631"/>
      <c r="B257" s="208" t="s">
        <v>245</v>
      </c>
      <c r="C257" s="1987" t="s">
        <v>246</v>
      </c>
      <c r="D257" s="1943">
        <v>1195000</v>
      </c>
      <c r="E257" s="1443">
        <v>1195000</v>
      </c>
      <c r="F257" s="1444">
        <v>1151726</v>
      </c>
      <c r="G257" s="1705">
        <v>1152000</v>
      </c>
      <c r="H257" s="1705"/>
      <c r="I257" s="1710">
        <f t="shared" si="67"/>
        <v>1152000</v>
      </c>
      <c r="J257" s="675" t="s">
        <v>1054</v>
      </c>
      <c r="K257" s="674"/>
      <c r="L257" s="646"/>
      <c r="M257" s="644"/>
      <c r="N257" s="550"/>
      <c r="O257" s="550"/>
      <c r="P257" s="550"/>
      <c r="Q257" s="550"/>
      <c r="R257" s="550"/>
      <c r="S257" s="550"/>
      <c r="T257" s="550"/>
      <c r="U257" s="550"/>
      <c r="V257" s="550"/>
      <c r="W257" s="550"/>
    </row>
    <row r="258" spans="1:23">
      <c r="A258" s="631"/>
      <c r="B258" s="208" t="s">
        <v>247</v>
      </c>
      <c r="C258" s="1987" t="s">
        <v>248</v>
      </c>
      <c r="D258" s="1943">
        <v>59000</v>
      </c>
      <c r="E258" s="1443">
        <v>59000</v>
      </c>
      <c r="F258" s="1444">
        <v>60000</v>
      </c>
      <c r="G258" s="1710">
        <v>60000</v>
      </c>
      <c r="H258" s="1710"/>
      <c r="I258" s="1710">
        <f t="shared" si="67"/>
        <v>60000</v>
      </c>
      <c r="J258" s="675"/>
      <c r="K258" s="674"/>
      <c r="L258" s="646"/>
      <c r="M258" s="644"/>
      <c r="N258" s="550"/>
      <c r="O258" s="550"/>
      <c r="P258" s="550"/>
      <c r="Q258" s="550"/>
      <c r="R258" s="550"/>
      <c r="S258" s="550"/>
      <c r="T258" s="550"/>
      <c r="U258" s="550"/>
      <c r="V258" s="550"/>
      <c r="W258" s="550"/>
    </row>
    <row r="259" spans="1:23">
      <c r="A259" s="631"/>
      <c r="B259" s="208" t="s">
        <v>249</v>
      </c>
      <c r="C259" s="1987" t="s">
        <v>250</v>
      </c>
      <c r="D259" s="1943"/>
      <c r="E259" s="1451"/>
      <c r="F259" s="1448"/>
      <c r="G259" s="1699"/>
      <c r="H259" s="1699"/>
      <c r="I259" s="1710">
        <f t="shared" si="67"/>
        <v>0</v>
      </c>
      <c r="J259" s="675"/>
      <c r="K259" s="674"/>
      <c r="L259" s="646"/>
      <c r="M259" s="644"/>
      <c r="N259" s="550"/>
      <c r="O259" s="550"/>
      <c r="P259" s="550"/>
      <c r="Q259" s="550"/>
      <c r="R259" s="550"/>
      <c r="S259" s="550"/>
      <c r="T259" s="550"/>
      <c r="U259" s="550"/>
      <c r="V259" s="550"/>
      <c r="W259" s="550"/>
    </row>
    <row r="260" spans="1:23">
      <c r="A260" s="631"/>
      <c r="B260" s="208" t="s">
        <v>251</v>
      </c>
      <c r="C260" s="1987" t="s">
        <v>252</v>
      </c>
      <c r="D260" s="1943">
        <v>3000</v>
      </c>
      <c r="E260" s="1443">
        <v>3000</v>
      </c>
      <c r="F260" s="1444">
        <v>3000</v>
      </c>
      <c r="G260" s="1710">
        <v>3000</v>
      </c>
      <c r="H260" s="1710"/>
      <c r="I260" s="1710">
        <f t="shared" si="67"/>
        <v>3000</v>
      </c>
      <c r="J260" s="675"/>
      <c r="K260" s="674"/>
      <c r="L260" s="646"/>
      <c r="M260" s="644"/>
      <c r="N260" s="641"/>
      <c r="O260" s="641"/>
      <c r="P260" s="550"/>
      <c r="Q260" s="550"/>
      <c r="R260" s="550"/>
      <c r="S260" s="550"/>
      <c r="T260" s="550"/>
      <c r="U260" s="550"/>
      <c r="V260" s="550"/>
      <c r="W260" s="550"/>
    </row>
    <row r="261" spans="1:23">
      <c r="A261" s="631"/>
      <c r="B261" s="208" t="s">
        <v>253</v>
      </c>
      <c r="C261" s="1987" t="s">
        <v>254</v>
      </c>
      <c r="D261" s="1943">
        <v>44000</v>
      </c>
      <c r="E261" s="1443">
        <v>44000</v>
      </c>
      <c r="F261" s="1444">
        <v>45000</v>
      </c>
      <c r="G261" s="1710">
        <v>45000</v>
      </c>
      <c r="H261" s="1710"/>
      <c r="I261" s="1710">
        <f t="shared" si="67"/>
        <v>45000</v>
      </c>
      <c r="J261" s="675"/>
      <c r="K261" s="674"/>
      <c r="L261" s="646"/>
      <c r="M261" s="644"/>
      <c r="N261" s="550"/>
      <c r="O261" s="550"/>
      <c r="P261" s="550"/>
      <c r="Q261" s="550"/>
      <c r="R261" s="550"/>
      <c r="S261" s="550"/>
      <c r="T261" s="550"/>
      <c r="U261" s="550"/>
      <c r="V261" s="550"/>
      <c r="W261" s="550"/>
    </row>
    <row r="262" spans="1:23">
      <c r="A262" s="631"/>
      <c r="B262" s="208" t="s">
        <v>633</v>
      </c>
      <c r="C262" s="1987" t="s">
        <v>634</v>
      </c>
      <c r="D262" s="1943">
        <v>15000</v>
      </c>
      <c r="E262" s="1443">
        <v>15000</v>
      </c>
      <c r="F262" s="1444">
        <v>13000</v>
      </c>
      <c r="G262" s="1710">
        <v>13000</v>
      </c>
      <c r="H262" s="1710"/>
      <c r="I262" s="1710">
        <f t="shared" si="67"/>
        <v>13000</v>
      </c>
      <c r="J262" s="675"/>
      <c r="K262" s="674"/>
      <c r="L262" s="646"/>
      <c r="M262" s="644"/>
      <c r="N262" s="550"/>
      <c r="O262" s="550"/>
      <c r="P262" s="550"/>
      <c r="Q262" s="550"/>
      <c r="R262" s="550"/>
      <c r="S262" s="550"/>
      <c r="T262" s="550"/>
      <c r="U262" s="550"/>
      <c r="V262" s="550"/>
      <c r="W262" s="550"/>
    </row>
    <row r="263" spans="1:23">
      <c r="A263" s="631"/>
      <c r="B263" s="208" t="s">
        <v>255</v>
      </c>
      <c r="C263" s="1987" t="s">
        <v>256</v>
      </c>
      <c r="D263" s="1943">
        <v>1000</v>
      </c>
      <c r="E263" s="1443">
        <v>1000</v>
      </c>
      <c r="F263" s="1444">
        <v>0</v>
      </c>
      <c r="G263" s="1695">
        <v>0</v>
      </c>
      <c r="H263" s="1695"/>
      <c r="I263" s="1710">
        <f t="shared" si="67"/>
        <v>0</v>
      </c>
      <c r="J263" s="675"/>
      <c r="K263" s="674"/>
      <c r="L263" s="646"/>
      <c r="M263" s="644"/>
      <c r="N263" s="550"/>
      <c r="O263" s="550"/>
      <c r="P263" s="550"/>
      <c r="Q263" s="550"/>
      <c r="R263" s="550"/>
      <c r="S263" s="550"/>
      <c r="T263" s="550"/>
      <c r="U263" s="550"/>
      <c r="V263" s="550"/>
      <c r="W263" s="550"/>
    </row>
    <row r="264" spans="1:23">
      <c r="A264" s="631"/>
      <c r="B264" s="208" t="s">
        <v>126</v>
      </c>
      <c r="C264" s="1987" t="s">
        <v>257</v>
      </c>
      <c r="D264" s="1943">
        <v>542000</v>
      </c>
      <c r="E264" s="1443">
        <v>554000</v>
      </c>
      <c r="F264" s="1444">
        <v>518000</v>
      </c>
      <c r="G264" s="1695">
        <v>518000</v>
      </c>
      <c r="H264" s="1695"/>
      <c r="I264" s="1710">
        <f t="shared" si="67"/>
        <v>518000</v>
      </c>
      <c r="J264" s="675"/>
      <c r="K264" s="674"/>
      <c r="L264" s="646"/>
      <c r="M264" s="644"/>
      <c r="N264" s="641"/>
      <c r="O264" s="641"/>
      <c r="P264" s="550"/>
      <c r="Q264" s="550"/>
      <c r="R264" s="550"/>
      <c r="S264" s="550"/>
      <c r="T264" s="550"/>
      <c r="U264" s="550"/>
      <c r="V264" s="550"/>
      <c r="W264" s="550"/>
    </row>
    <row r="265" spans="1:23">
      <c r="A265" s="631"/>
      <c r="B265" s="208" t="s">
        <v>258</v>
      </c>
      <c r="C265" s="1987" t="s">
        <v>259</v>
      </c>
      <c r="D265" s="1943"/>
      <c r="E265" s="1449"/>
      <c r="F265" s="1446"/>
      <c r="G265" s="1697"/>
      <c r="H265" s="1697"/>
      <c r="I265" s="1710">
        <f t="shared" si="67"/>
        <v>0</v>
      </c>
      <c r="J265" s="675"/>
      <c r="K265" s="674"/>
      <c r="L265" s="646"/>
      <c r="M265" s="644"/>
      <c r="N265" s="644"/>
      <c r="O265" s="644"/>
      <c r="P265" s="550"/>
      <c r="Q265" s="550"/>
      <c r="R265" s="550"/>
      <c r="S265" s="550"/>
      <c r="T265" s="550"/>
      <c r="U265" s="550"/>
      <c r="V265" s="550"/>
      <c r="W265" s="550"/>
    </row>
    <row r="266" spans="1:23" ht="15.75" customHeight="1">
      <c r="A266" s="631"/>
      <c r="B266" s="208" t="s">
        <v>260</v>
      </c>
      <c r="C266" s="1987" t="s">
        <v>261</v>
      </c>
      <c r="D266" s="1943">
        <v>37000</v>
      </c>
      <c r="E266" s="1443">
        <v>37000</v>
      </c>
      <c r="F266" s="1444">
        <v>0</v>
      </c>
      <c r="G266" s="1695">
        <v>152000</v>
      </c>
      <c r="H266" s="1695"/>
      <c r="I266" s="1710">
        <f t="shared" si="67"/>
        <v>152000</v>
      </c>
      <c r="J266" s="675"/>
      <c r="K266" s="674"/>
      <c r="L266" s="646"/>
      <c r="M266" s="644"/>
      <c r="N266" s="550"/>
      <c r="O266" s="550"/>
      <c r="P266" s="550"/>
      <c r="Q266" s="550"/>
      <c r="R266" s="550"/>
      <c r="S266" s="550"/>
      <c r="T266" s="550"/>
      <c r="U266" s="550"/>
      <c r="V266" s="550"/>
      <c r="W266" s="550"/>
    </row>
    <row r="267" spans="1:23">
      <c r="A267" s="631"/>
      <c r="B267" s="208" t="s">
        <v>262</v>
      </c>
      <c r="C267" s="1987" t="s">
        <v>263</v>
      </c>
      <c r="D267" s="1943">
        <v>3506000</v>
      </c>
      <c r="E267" s="1443">
        <v>3494000</v>
      </c>
      <c r="F267" s="1444">
        <v>4945000</v>
      </c>
      <c r="G267" s="1710">
        <v>4793000</v>
      </c>
      <c r="H267" s="1710"/>
      <c r="I267" s="1710">
        <f t="shared" si="67"/>
        <v>4793000</v>
      </c>
      <c r="J267" s="675"/>
      <c r="K267" s="674"/>
      <c r="L267" s="646"/>
      <c r="M267" s="644"/>
      <c r="N267" s="550"/>
      <c r="O267" s="550"/>
      <c r="P267" s="550"/>
      <c r="Q267" s="550"/>
      <c r="R267" s="550"/>
      <c r="S267" s="550"/>
      <c r="T267" s="550"/>
      <c r="U267" s="550"/>
      <c r="V267" s="550"/>
      <c r="W267" s="550"/>
    </row>
    <row r="268" spans="1:23">
      <c r="A268" s="631"/>
      <c r="B268" s="778" t="s">
        <v>671</v>
      </c>
      <c r="C268" s="1987" t="s">
        <v>670</v>
      </c>
      <c r="D268" s="1943">
        <v>2000</v>
      </c>
      <c r="E268" s="1443">
        <v>2000</v>
      </c>
      <c r="F268" s="1444">
        <v>1000</v>
      </c>
      <c r="G268" s="1710">
        <v>1000</v>
      </c>
      <c r="H268" s="1710"/>
      <c r="I268" s="1710">
        <f t="shared" si="67"/>
        <v>1000</v>
      </c>
      <c r="J268" s="675"/>
      <c r="K268" s="674"/>
      <c r="L268" s="646"/>
      <c r="M268" s="644"/>
      <c r="N268" s="550"/>
      <c r="O268" s="550"/>
      <c r="P268" s="550"/>
      <c r="Q268" s="550"/>
      <c r="R268" s="550"/>
      <c r="S268" s="550"/>
      <c r="T268" s="550"/>
      <c r="U268" s="550"/>
      <c r="V268" s="550"/>
      <c r="W268" s="550"/>
    </row>
    <row r="269" spans="1:23">
      <c r="A269" s="631"/>
      <c r="B269" s="778" t="s">
        <v>669</v>
      </c>
      <c r="C269" s="1987" t="s">
        <v>668</v>
      </c>
      <c r="D269" s="1943">
        <v>1305000</v>
      </c>
      <c r="E269" s="1443">
        <v>1305000</v>
      </c>
      <c r="F269" s="1444">
        <v>1903000</v>
      </c>
      <c r="G269" s="1710">
        <v>1903000</v>
      </c>
      <c r="H269" s="1710"/>
      <c r="I269" s="1710">
        <f t="shared" si="67"/>
        <v>1903000</v>
      </c>
      <c r="J269" s="675"/>
      <c r="K269" s="674"/>
      <c r="L269" s="646"/>
      <c r="M269" s="644"/>
      <c r="N269" s="550"/>
      <c r="O269" s="550"/>
      <c r="P269" s="550"/>
      <c r="Q269" s="550"/>
      <c r="R269" s="550"/>
      <c r="S269" s="550"/>
      <c r="T269" s="550"/>
      <c r="U269" s="550"/>
      <c r="V269" s="550"/>
      <c r="W269" s="550"/>
    </row>
    <row r="270" spans="1:23">
      <c r="A270" s="631"/>
      <c r="B270" s="208" t="s">
        <v>65</v>
      </c>
      <c r="C270" s="1987" t="s">
        <v>264</v>
      </c>
      <c r="D270" s="1943">
        <v>20990000</v>
      </c>
      <c r="E270" s="1443">
        <v>20025000</v>
      </c>
      <c r="F270" s="1444">
        <v>25442000</v>
      </c>
      <c r="G270" s="1710">
        <v>25442000</v>
      </c>
      <c r="H270" s="1710"/>
      <c r="I270" s="1710">
        <f t="shared" si="67"/>
        <v>25442000</v>
      </c>
      <c r="J270" s="675"/>
      <c r="K270" s="674"/>
      <c r="L270" s="674"/>
      <c r="M270" s="644"/>
      <c r="N270" s="550"/>
      <c r="O270" s="550"/>
      <c r="P270" s="550"/>
      <c r="Q270" s="550"/>
      <c r="R270" s="550"/>
      <c r="S270" s="550"/>
      <c r="T270" s="550"/>
      <c r="U270" s="550"/>
      <c r="V270" s="550"/>
      <c r="W270" s="550"/>
    </row>
    <row r="271" spans="1:23" s="226" customFormat="1" ht="27.75" customHeight="1">
      <c r="A271" s="223" t="s">
        <v>265</v>
      </c>
      <c r="B271" s="224" t="s">
        <v>266</v>
      </c>
      <c r="C271" s="1998" t="s">
        <v>267</v>
      </c>
      <c r="D271" s="1943">
        <v>195000000</v>
      </c>
      <c r="E271" s="1443">
        <v>195000000</v>
      </c>
      <c r="F271" s="1444">
        <v>179999000</v>
      </c>
      <c r="G271" s="1710">
        <v>179999000</v>
      </c>
      <c r="H271" s="1710"/>
      <c r="I271" s="1710">
        <f t="shared" si="67"/>
        <v>179999000</v>
      </c>
      <c r="J271" s="675"/>
      <c r="K271" s="581"/>
      <c r="L271" s="648"/>
      <c r="M271" s="648"/>
      <c r="N271" s="641"/>
      <c r="O271" s="641"/>
      <c r="P271" s="581"/>
      <c r="Q271" s="581"/>
      <c r="R271" s="581"/>
      <c r="S271" s="581"/>
      <c r="T271" s="581"/>
      <c r="U271" s="581"/>
      <c r="V271" s="581"/>
      <c r="W271" s="581"/>
    </row>
    <row r="272" spans="1:23">
      <c r="A272" s="631"/>
      <c r="B272" s="670"/>
      <c r="C272" s="1989"/>
      <c r="D272" s="1957"/>
      <c r="E272" s="1451"/>
      <c r="F272" s="1452"/>
      <c r="G272" s="1701"/>
      <c r="H272" s="1701"/>
      <c r="I272" s="1701"/>
      <c r="J272" s="675"/>
      <c r="K272" s="550"/>
      <c r="L272" s="550"/>
      <c r="M272" s="550"/>
      <c r="N272" s="550"/>
      <c r="O272" s="550"/>
      <c r="P272" s="550"/>
      <c r="Q272" s="550"/>
      <c r="R272" s="550"/>
      <c r="S272" s="550"/>
      <c r="T272" s="550"/>
      <c r="U272" s="550"/>
      <c r="V272" s="550"/>
      <c r="W272" s="550"/>
    </row>
    <row r="273" spans="1:23" s="204" customFormat="1">
      <c r="A273" s="168" t="s">
        <v>25</v>
      </c>
      <c r="B273" s="227" t="s">
        <v>268</v>
      </c>
      <c r="C273" s="1995" t="s">
        <v>81</v>
      </c>
      <c r="D273" s="1948">
        <f t="shared" ref="D273:I273" si="68">SUM(D274,D280)</f>
        <v>90525000</v>
      </c>
      <c r="E273" s="1417">
        <f t="shared" si="68"/>
        <v>56856000</v>
      </c>
      <c r="F273" s="1418">
        <f t="shared" si="68"/>
        <v>208000000</v>
      </c>
      <c r="G273" s="1679">
        <f t="shared" si="68"/>
        <v>149889000</v>
      </c>
      <c r="H273" s="1679">
        <f t="shared" si="68"/>
        <v>0</v>
      </c>
      <c r="I273" s="1679">
        <f t="shared" si="68"/>
        <v>149889000</v>
      </c>
      <c r="J273" s="671"/>
      <c r="K273" s="575"/>
      <c r="L273" s="579"/>
      <c r="M273" s="579"/>
      <c r="N273" s="579"/>
      <c r="O273" s="579"/>
      <c r="P273" s="575"/>
      <c r="Q273" s="575"/>
      <c r="R273" s="575"/>
      <c r="S273" s="575"/>
      <c r="T273" s="575"/>
      <c r="U273" s="575"/>
      <c r="V273" s="575"/>
      <c r="W273" s="575"/>
    </row>
    <row r="274" spans="1:23" s="204" customFormat="1">
      <c r="A274" s="169" t="s">
        <v>27</v>
      </c>
      <c r="B274" s="228" t="s">
        <v>269</v>
      </c>
      <c r="C274" s="1999" t="s">
        <v>81</v>
      </c>
      <c r="D274" s="1958">
        <f t="shared" ref="D274:I274" si="69">SUM(D275:D275)</f>
        <v>62633000</v>
      </c>
      <c r="E274" s="1466">
        <f t="shared" si="69"/>
        <v>29870000</v>
      </c>
      <c r="F274" s="1467">
        <f t="shared" si="69"/>
        <v>45900000</v>
      </c>
      <c r="G274" s="1711">
        <f t="shared" si="69"/>
        <v>45489000</v>
      </c>
      <c r="H274" s="1711">
        <f t="shared" si="69"/>
        <v>0</v>
      </c>
      <c r="I274" s="1711">
        <f t="shared" si="69"/>
        <v>45489000</v>
      </c>
      <c r="J274" s="671"/>
      <c r="K274" s="575"/>
      <c r="L274" s="574"/>
      <c r="M274" s="574"/>
      <c r="N274" s="574"/>
      <c r="O274" s="574"/>
      <c r="P274" s="575"/>
      <c r="Q274" s="575"/>
      <c r="R274" s="575"/>
      <c r="S274" s="575"/>
      <c r="T274" s="575"/>
      <c r="U274" s="575"/>
      <c r="V274" s="575"/>
      <c r="W274" s="575"/>
    </row>
    <row r="275" spans="1:23" s="204" customFormat="1">
      <c r="A275" s="662"/>
      <c r="B275" s="201" t="s">
        <v>145</v>
      </c>
      <c r="C275" s="1999" t="s">
        <v>270</v>
      </c>
      <c r="D275" s="1958">
        <f t="shared" ref="D275:I275" si="70">SUM(D276,D277)</f>
        <v>62633000</v>
      </c>
      <c r="E275" s="1466">
        <f t="shared" si="70"/>
        <v>29870000</v>
      </c>
      <c r="F275" s="1467">
        <f t="shared" si="70"/>
        <v>45900000</v>
      </c>
      <c r="G275" s="1711">
        <f t="shared" si="70"/>
        <v>45489000</v>
      </c>
      <c r="H275" s="1711">
        <f t="shared" si="70"/>
        <v>0</v>
      </c>
      <c r="I275" s="1711">
        <f t="shared" si="70"/>
        <v>45489000</v>
      </c>
      <c r="J275" s="671"/>
      <c r="K275" s="575"/>
      <c r="L275" s="574"/>
      <c r="M275" s="574"/>
      <c r="N275" s="574"/>
      <c r="O275" s="574"/>
      <c r="P275" s="575"/>
      <c r="Q275" s="575"/>
      <c r="R275" s="575"/>
      <c r="S275" s="575"/>
      <c r="T275" s="575"/>
      <c r="U275" s="575"/>
      <c r="V275" s="575"/>
      <c r="W275" s="575"/>
    </row>
    <row r="276" spans="1:23">
      <c r="A276" s="631"/>
      <c r="B276" s="181" t="s">
        <v>271</v>
      </c>
      <c r="C276" s="1989" t="s">
        <v>1010</v>
      </c>
      <c r="D276" s="1959">
        <v>18900000</v>
      </c>
      <c r="E276" s="1451">
        <v>10550000</v>
      </c>
      <c r="F276" s="1452">
        <v>21900000</v>
      </c>
      <c r="G276" s="1701">
        <v>21489000</v>
      </c>
      <c r="H276" s="1701"/>
      <c r="I276" s="1701">
        <f>+G276+H276</f>
        <v>21489000</v>
      </c>
      <c r="J276" s="675"/>
      <c r="K276" s="550"/>
      <c r="L276" s="649"/>
      <c r="M276" s="649"/>
      <c r="N276" s="649"/>
      <c r="O276" s="649"/>
      <c r="P276" s="550"/>
      <c r="Q276" s="550"/>
      <c r="R276" s="550"/>
      <c r="S276" s="550"/>
      <c r="T276" s="550"/>
      <c r="U276" s="550"/>
      <c r="V276" s="550"/>
      <c r="W276" s="550"/>
    </row>
    <row r="277" spans="1:23" s="204" customFormat="1">
      <c r="A277" s="662"/>
      <c r="B277" s="198" t="s">
        <v>272</v>
      </c>
      <c r="C277" s="1988" t="s">
        <v>1051</v>
      </c>
      <c r="D277" s="1949">
        <f t="shared" ref="D277:I277" si="71">SUM(D278:D279)</f>
        <v>43733000</v>
      </c>
      <c r="E277" s="1453">
        <f t="shared" si="71"/>
        <v>19320000</v>
      </c>
      <c r="F277" s="1454">
        <f t="shared" si="71"/>
        <v>24000000</v>
      </c>
      <c r="G277" s="1702">
        <f t="shared" si="71"/>
        <v>24000000</v>
      </c>
      <c r="H277" s="1702">
        <v>0</v>
      </c>
      <c r="I277" s="1702">
        <f t="shared" si="71"/>
        <v>24000000</v>
      </c>
      <c r="J277" s="671"/>
      <c r="K277" s="575"/>
      <c r="L277" s="567"/>
      <c r="M277" s="567"/>
      <c r="N277" s="567"/>
      <c r="O277" s="567"/>
      <c r="P277" s="575"/>
      <c r="Q277" s="575"/>
      <c r="R277" s="575"/>
      <c r="S277" s="575"/>
      <c r="T277" s="575"/>
      <c r="U277" s="575"/>
      <c r="V277" s="575"/>
      <c r="W277" s="575"/>
    </row>
    <row r="278" spans="1:23">
      <c r="A278" s="631"/>
      <c r="B278" s="165" t="s">
        <v>273</v>
      </c>
      <c r="C278" s="1987" t="s">
        <v>274</v>
      </c>
      <c r="D278" s="1959">
        <v>43733000</v>
      </c>
      <c r="E278" s="1451">
        <f>19320000-E279</f>
        <v>19320000</v>
      </c>
      <c r="F278" s="1452">
        <v>24000000</v>
      </c>
      <c r="G278" s="1701">
        <f>24000000-G279</f>
        <v>24000000</v>
      </c>
      <c r="H278" s="1701"/>
      <c r="I278" s="1701">
        <f>+G278+H278</f>
        <v>24000000</v>
      </c>
      <c r="J278" s="675"/>
      <c r="K278" s="550"/>
      <c r="L278" s="566"/>
      <c r="M278" s="566"/>
      <c r="N278" s="566"/>
      <c r="O278" s="566"/>
      <c r="P278" s="550"/>
      <c r="Q278" s="550"/>
      <c r="R278" s="550"/>
      <c r="S278" s="550"/>
      <c r="T278" s="550"/>
      <c r="U278" s="550"/>
      <c r="V278" s="550"/>
      <c r="W278" s="550"/>
    </row>
    <row r="279" spans="1:23">
      <c r="A279" s="855"/>
      <c r="B279" s="856" t="s">
        <v>273</v>
      </c>
      <c r="C279" s="1996" t="s">
        <v>483</v>
      </c>
      <c r="D279" s="1960"/>
      <c r="E279" s="1468"/>
      <c r="F279" s="1469"/>
      <c r="G279" s="1712"/>
      <c r="H279" s="1712"/>
      <c r="I279" s="1712">
        <f>+G279+H279</f>
        <v>0</v>
      </c>
      <c r="J279" s="675"/>
      <c r="K279" s="550"/>
      <c r="L279" s="566"/>
      <c r="M279" s="566"/>
      <c r="N279" s="566"/>
      <c r="O279" s="566"/>
      <c r="P279" s="550"/>
      <c r="Q279" s="550"/>
      <c r="R279" s="550"/>
      <c r="S279" s="550"/>
      <c r="T279" s="550"/>
      <c r="U279" s="550"/>
      <c r="V279" s="550"/>
      <c r="W279" s="550"/>
    </row>
    <row r="280" spans="1:23" s="200" customFormat="1" ht="14.4">
      <c r="A280" s="197" t="s">
        <v>28</v>
      </c>
      <c r="B280" s="198" t="s">
        <v>275</v>
      </c>
      <c r="C280" s="1988" t="s">
        <v>81</v>
      </c>
      <c r="D280" s="1944">
        <f t="shared" ref="D280:I280" si="72">SUM(D281,D298)</f>
        <v>27892000</v>
      </c>
      <c r="E280" s="1441">
        <f t="shared" si="72"/>
        <v>26986000</v>
      </c>
      <c r="F280" s="1442">
        <f t="shared" si="72"/>
        <v>162100000</v>
      </c>
      <c r="G280" s="1694">
        <f t="shared" si="72"/>
        <v>104400000</v>
      </c>
      <c r="H280" s="1694">
        <f t="shared" si="72"/>
        <v>0</v>
      </c>
      <c r="I280" s="1694">
        <f t="shared" si="72"/>
        <v>104400000</v>
      </c>
      <c r="J280" s="671"/>
      <c r="K280" s="574"/>
      <c r="L280" s="567"/>
      <c r="M280" s="567"/>
      <c r="N280" s="567"/>
      <c r="O280" s="567"/>
      <c r="P280" s="574"/>
      <c r="Q280" s="574"/>
      <c r="R280" s="574"/>
      <c r="S280" s="574"/>
      <c r="T280" s="574"/>
      <c r="U280" s="574"/>
      <c r="V280" s="574"/>
      <c r="W280" s="574"/>
    </row>
    <row r="281" spans="1:23" s="200" customFormat="1" ht="14.4">
      <c r="A281" s="197" t="s">
        <v>276</v>
      </c>
      <c r="B281" s="229" t="s">
        <v>277</v>
      </c>
      <c r="C281" s="1988" t="s">
        <v>81</v>
      </c>
      <c r="D281" s="1944">
        <f t="shared" ref="D281:I281" si="73">SUM(D282:D282)</f>
        <v>23512000</v>
      </c>
      <c r="E281" s="1441">
        <f t="shared" si="73"/>
        <v>22606000</v>
      </c>
      <c r="F281" s="1442">
        <f t="shared" si="73"/>
        <v>152700000</v>
      </c>
      <c r="G281" s="1694">
        <f t="shared" si="73"/>
        <v>98200000</v>
      </c>
      <c r="H281" s="1694">
        <f t="shared" si="73"/>
        <v>0</v>
      </c>
      <c r="I281" s="1694">
        <f t="shared" si="73"/>
        <v>98200000</v>
      </c>
      <c r="J281" s="671"/>
      <c r="K281" s="574"/>
      <c r="L281" s="567"/>
      <c r="M281" s="567"/>
      <c r="N281" s="567"/>
      <c r="O281" s="567"/>
      <c r="P281" s="574"/>
      <c r="Q281" s="574"/>
      <c r="R281" s="574"/>
      <c r="S281" s="574"/>
      <c r="T281" s="574"/>
      <c r="U281" s="574"/>
      <c r="V281" s="574"/>
      <c r="W281" s="574"/>
    </row>
    <row r="282" spans="1:23" s="200" customFormat="1" ht="14.4">
      <c r="A282" s="664"/>
      <c r="B282" s="230" t="s">
        <v>273</v>
      </c>
      <c r="C282" s="1988" t="s">
        <v>278</v>
      </c>
      <c r="D282" s="1944">
        <f t="shared" ref="D282:I282" si="74">SUM(D283,D284:D286)</f>
        <v>23512000</v>
      </c>
      <c r="E282" s="1441">
        <f t="shared" si="74"/>
        <v>22606000</v>
      </c>
      <c r="F282" s="1442">
        <f t="shared" si="74"/>
        <v>152700000</v>
      </c>
      <c r="G282" s="1694">
        <f t="shared" si="74"/>
        <v>98200000</v>
      </c>
      <c r="H282" s="1694">
        <f t="shared" si="74"/>
        <v>0</v>
      </c>
      <c r="I282" s="1694">
        <f t="shared" si="74"/>
        <v>98200000</v>
      </c>
      <c r="J282" s="671"/>
      <c r="K282" s="574"/>
      <c r="L282" s="574"/>
      <c r="M282" s="574"/>
      <c r="N282" s="574"/>
      <c r="O282" s="574"/>
      <c r="P282" s="574"/>
      <c r="Q282" s="574"/>
      <c r="R282" s="574"/>
      <c r="S282" s="574"/>
      <c r="T282" s="574"/>
      <c r="U282" s="574"/>
      <c r="V282" s="574"/>
      <c r="W282" s="574"/>
    </row>
    <row r="283" spans="1:23" s="155" customFormat="1">
      <c r="A283" s="661"/>
      <c r="B283" s="231" t="s">
        <v>625</v>
      </c>
      <c r="C283" s="1987" t="s">
        <v>278</v>
      </c>
      <c r="D283" s="1961">
        <v>2396000</v>
      </c>
      <c r="E283" s="1470">
        <v>2396000</v>
      </c>
      <c r="F283" s="1471">
        <v>68700000</v>
      </c>
      <c r="G283" s="1713">
        <v>44200000</v>
      </c>
      <c r="H283" s="1713"/>
      <c r="I283" s="1713">
        <f>+G283+H283</f>
        <v>44200000</v>
      </c>
      <c r="J283" s="675"/>
      <c r="K283" s="566"/>
      <c r="L283" s="566"/>
      <c r="M283" s="566"/>
      <c r="N283" s="566"/>
      <c r="O283" s="566"/>
      <c r="P283" s="566"/>
      <c r="Q283" s="566"/>
      <c r="R283" s="566"/>
      <c r="S283" s="566"/>
      <c r="T283" s="566"/>
      <c r="U283" s="566"/>
      <c r="V283" s="566"/>
      <c r="W283" s="566"/>
    </row>
    <row r="284" spans="1:23" s="155" customFormat="1">
      <c r="A284" s="661"/>
      <c r="B284" s="222" t="s">
        <v>626</v>
      </c>
      <c r="C284" s="1987" t="s">
        <v>278</v>
      </c>
      <c r="D284" s="1962">
        <v>1106000</v>
      </c>
      <c r="E284" s="1470">
        <v>200000</v>
      </c>
      <c r="F284" s="1472">
        <v>1000000</v>
      </c>
      <c r="G284" s="1714">
        <v>1000000</v>
      </c>
      <c r="H284" s="1715"/>
      <c r="I284" s="1715">
        <f>+G284+H284</f>
        <v>1000000</v>
      </c>
      <c r="J284" s="675"/>
      <c r="K284" s="566"/>
      <c r="L284" s="566"/>
      <c r="M284" s="566"/>
      <c r="N284" s="566"/>
      <c r="O284" s="566"/>
      <c r="P284" s="566"/>
      <c r="Q284" s="566"/>
      <c r="R284" s="566"/>
      <c r="S284" s="566"/>
      <c r="T284" s="566"/>
      <c r="U284" s="566"/>
      <c r="V284" s="566"/>
      <c r="W284" s="566"/>
    </row>
    <row r="285" spans="1:23" s="155" customFormat="1" ht="14.4">
      <c r="A285" s="661"/>
      <c r="B285" s="222" t="s">
        <v>627</v>
      </c>
      <c r="C285" s="1987" t="s">
        <v>278</v>
      </c>
      <c r="D285" s="161"/>
      <c r="E285" s="1445"/>
      <c r="F285" s="1473"/>
      <c r="G285" s="1698"/>
      <c r="H285" s="1697"/>
      <c r="I285" s="1697"/>
      <c r="J285" s="675"/>
      <c r="K285" s="566"/>
      <c r="L285" s="566"/>
      <c r="M285" s="566"/>
      <c r="N285" s="566"/>
      <c r="O285" s="566"/>
      <c r="P285" s="566"/>
      <c r="Q285" s="566"/>
      <c r="R285" s="566"/>
      <c r="S285" s="566"/>
      <c r="T285" s="566"/>
      <c r="U285" s="566"/>
      <c r="V285" s="566"/>
      <c r="W285" s="566"/>
    </row>
    <row r="286" spans="1:23" s="200" customFormat="1" ht="28.8">
      <c r="A286" s="664"/>
      <c r="B286" s="211" t="s">
        <v>628</v>
      </c>
      <c r="C286" s="1988" t="s">
        <v>278</v>
      </c>
      <c r="D286" s="1944">
        <f t="shared" ref="D286:I286" si="75">SUM(D287:D296)</f>
        <v>20010000</v>
      </c>
      <c r="E286" s="1441">
        <f t="shared" si="75"/>
        <v>20010000</v>
      </c>
      <c r="F286" s="1442">
        <f t="shared" si="75"/>
        <v>83000000</v>
      </c>
      <c r="G286" s="1694">
        <f>SUM(G287:G296)</f>
        <v>53000000</v>
      </c>
      <c r="H286" s="1694">
        <f t="shared" si="75"/>
        <v>0</v>
      </c>
      <c r="I286" s="1694">
        <f t="shared" si="75"/>
        <v>53000000</v>
      </c>
      <c r="J286" s="671"/>
      <c r="K286" s="574"/>
      <c r="L286" s="567"/>
      <c r="M286" s="567"/>
      <c r="N286" s="567"/>
      <c r="O286" s="567"/>
      <c r="P286" s="574"/>
      <c r="Q286" s="574"/>
      <c r="R286" s="574"/>
      <c r="S286" s="574"/>
      <c r="T286" s="574"/>
      <c r="U286" s="574"/>
      <c r="V286" s="574"/>
      <c r="W286" s="574"/>
    </row>
    <row r="287" spans="1:23" s="155" customFormat="1" ht="14.4" hidden="1">
      <c r="A287" s="661"/>
      <c r="B287" s="205" t="s">
        <v>155</v>
      </c>
      <c r="C287" s="1989"/>
      <c r="D287" s="620"/>
      <c r="E287" s="1447"/>
      <c r="F287" s="1448"/>
      <c r="G287" s="1699"/>
      <c r="H287" s="1699"/>
      <c r="I287" s="1699"/>
      <c r="J287" s="675"/>
      <c r="K287" s="566"/>
      <c r="L287" s="566"/>
      <c r="M287" s="566"/>
      <c r="N287" s="566"/>
      <c r="O287" s="566"/>
      <c r="P287" s="566"/>
      <c r="Q287" s="566"/>
      <c r="R287" s="566"/>
      <c r="S287" s="566"/>
      <c r="T287" s="566"/>
      <c r="U287" s="566"/>
      <c r="V287" s="566"/>
      <c r="W287" s="566"/>
    </row>
    <row r="288" spans="1:23" s="155" customFormat="1" ht="14.4" hidden="1">
      <c r="A288" s="661"/>
      <c r="B288" s="205" t="s">
        <v>279</v>
      </c>
      <c r="C288" s="1989"/>
      <c r="D288" s="620"/>
      <c r="E288" s="1447"/>
      <c r="F288" s="1448"/>
      <c r="G288" s="1699"/>
      <c r="H288" s="1699"/>
      <c r="I288" s="1699"/>
      <c r="J288" s="675"/>
      <c r="K288" s="566"/>
      <c r="L288" s="566"/>
      <c r="M288" s="566"/>
      <c r="N288" s="566"/>
      <c r="O288" s="566"/>
      <c r="P288" s="566"/>
      <c r="Q288" s="566"/>
      <c r="R288" s="566"/>
      <c r="S288" s="566"/>
      <c r="T288" s="566"/>
      <c r="U288" s="566"/>
      <c r="V288" s="566"/>
      <c r="W288" s="566"/>
    </row>
    <row r="289" spans="1:23" s="155" customFormat="1" hidden="1">
      <c r="A289" s="661"/>
      <c r="B289" s="205" t="s">
        <v>280</v>
      </c>
      <c r="C289" s="1989"/>
      <c r="D289" s="620"/>
      <c r="E289" s="1470"/>
      <c r="F289" s="1474"/>
      <c r="G289" s="1715"/>
      <c r="H289" s="1715"/>
      <c r="I289" s="1715"/>
      <c r="J289" s="675"/>
      <c r="K289" s="566"/>
      <c r="L289" s="566"/>
      <c r="M289" s="566"/>
      <c r="N289" s="566"/>
      <c r="O289" s="566"/>
      <c r="P289" s="566"/>
      <c r="Q289" s="566"/>
      <c r="R289" s="566"/>
      <c r="S289" s="566"/>
      <c r="T289" s="566"/>
      <c r="U289" s="566"/>
      <c r="V289" s="566"/>
      <c r="W289" s="566"/>
    </row>
    <row r="290" spans="1:23" s="155" customFormat="1" hidden="1">
      <c r="A290" s="661"/>
      <c r="B290" s="205" t="s">
        <v>157</v>
      </c>
      <c r="C290" s="1989"/>
      <c r="D290" s="620"/>
      <c r="E290" s="1470"/>
      <c r="F290" s="1474"/>
      <c r="G290" s="1715"/>
      <c r="H290" s="1715"/>
      <c r="I290" s="1715"/>
      <c r="J290" s="675"/>
      <c r="K290" s="566"/>
      <c r="L290" s="649"/>
      <c r="M290" s="649"/>
      <c r="N290" s="649"/>
      <c r="O290" s="649"/>
      <c r="P290" s="566"/>
      <c r="Q290" s="566"/>
      <c r="R290" s="566"/>
      <c r="S290" s="566"/>
      <c r="T290" s="566"/>
      <c r="U290" s="566"/>
      <c r="V290" s="566"/>
      <c r="W290" s="566"/>
    </row>
    <row r="291" spans="1:23" s="155" customFormat="1" hidden="1">
      <c r="A291" s="661"/>
      <c r="B291" s="205" t="s">
        <v>1012</v>
      </c>
      <c r="C291" s="1989"/>
      <c r="D291" s="620"/>
      <c r="E291" s="1470"/>
      <c r="F291" s="1474"/>
      <c r="G291" s="1715"/>
      <c r="H291" s="1715"/>
      <c r="I291" s="1715"/>
      <c r="J291" s="675"/>
      <c r="K291" s="566"/>
      <c r="L291" s="649"/>
      <c r="M291" s="649"/>
      <c r="N291" s="649"/>
      <c r="O291" s="649"/>
      <c r="P291" s="566"/>
      <c r="Q291" s="566"/>
      <c r="R291" s="566"/>
      <c r="S291" s="566"/>
      <c r="T291" s="566"/>
      <c r="U291" s="566"/>
      <c r="V291" s="566"/>
      <c r="W291" s="566"/>
    </row>
    <row r="292" spans="1:23" s="155" customFormat="1" hidden="1">
      <c r="A292" s="661"/>
      <c r="B292" s="205" t="s">
        <v>163</v>
      </c>
      <c r="C292" s="1989"/>
      <c r="D292" s="620"/>
      <c r="E292" s="1470"/>
      <c r="F292" s="1474"/>
      <c r="G292" s="1715"/>
      <c r="H292" s="1715"/>
      <c r="I292" s="1715"/>
      <c r="J292" s="675"/>
      <c r="K292" s="566"/>
      <c r="L292" s="566"/>
      <c r="M292" s="566"/>
      <c r="N292" s="566"/>
      <c r="O292" s="566"/>
      <c r="P292" s="566"/>
      <c r="Q292" s="566"/>
      <c r="R292" s="566"/>
      <c r="S292" s="566"/>
      <c r="T292" s="566"/>
      <c r="U292" s="566"/>
      <c r="V292" s="566"/>
      <c r="W292" s="566"/>
    </row>
    <row r="293" spans="1:23" s="155" customFormat="1" ht="14.4" hidden="1">
      <c r="A293" s="661"/>
      <c r="B293" s="205" t="s">
        <v>164</v>
      </c>
      <c r="C293" s="1989"/>
      <c r="D293" s="620"/>
      <c r="E293" s="1445"/>
      <c r="F293" s="1446"/>
      <c r="G293" s="1697"/>
      <c r="H293" s="1697"/>
      <c r="I293" s="1697"/>
      <c r="J293" s="675"/>
      <c r="K293" s="566"/>
      <c r="L293" s="566"/>
      <c r="M293" s="566"/>
      <c r="N293" s="566"/>
      <c r="O293" s="566"/>
      <c r="P293" s="566"/>
      <c r="Q293" s="566"/>
      <c r="R293" s="566"/>
      <c r="S293" s="566"/>
      <c r="T293" s="566"/>
      <c r="U293" s="566"/>
      <c r="V293" s="566"/>
      <c r="W293" s="566"/>
    </row>
    <row r="294" spans="1:23" s="155" customFormat="1">
      <c r="A294" s="661"/>
      <c r="B294" s="952" t="s">
        <v>1011</v>
      </c>
      <c r="C294" s="1989"/>
      <c r="D294" s="1961">
        <v>3000000</v>
      </c>
      <c r="E294" s="1470">
        <v>3000000</v>
      </c>
      <c r="F294" s="1474">
        <v>3000000</v>
      </c>
      <c r="G294" s="1715">
        <v>3000000</v>
      </c>
      <c r="H294" s="1715"/>
      <c r="I294" s="1715">
        <f>+G294+H294</f>
        <v>3000000</v>
      </c>
      <c r="J294" s="675"/>
      <c r="K294" s="566"/>
      <c r="L294" s="566"/>
      <c r="M294" s="566"/>
      <c r="N294" s="566"/>
      <c r="O294" s="566"/>
      <c r="P294" s="566"/>
      <c r="Q294" s="566"/>
      <c r="R294" s="566"/>
      <c r="S294" s="566"/>
      <c r="T294" s="566"/>
      <c r="U294" s="566"/>
      <c r="V294" s="566"/>
      <c r="W294" s="566"/>
    </row>
    <row r="295" spans="1:23" s="155" customFormat="1">
      <c r="A295" s="661"/>
      <c r="B295" s="205" t="s">
        <v>166</v>
      </c>
      <c r="C295" s="1989"/>
      <c r="D295" s="1961">
        <v>17010000</v>
      </c>
      <c r="E295" s="1445">
        <v>17010000</v>
      </c>
      <c r="F295" s="1473">
        <v>80000000</v>
      </c>
      <c r="G295" s="1698">
        <f>50000000</f>
        <v>50000000</v>
      </c>
      <c r="H295" s="1697"/>
      <c r="I295" s="1697">
        <f>+G295+H295</f>
        <v>50000000</v>
      </c>
      <c r="J295" s="675"/>
      <c r="K295" s="566"/>
      <c r="L295" s="566"/>
      <c r="M295" s="566"/>
      <c r="N295" s="566"/>
      <c r="O295" s="566"/>
      <c r="P295" s="566"/>
      <c r="Q295" s="566"/>
      <c r="R295" s="566"/>
      <c r="S295" s="566"/>
      <c r="T295" s="566"/>
      <c r="U295" s="566"/>
      <c r="V295" s="566"/>
      <c r="W295" s="566"/>
    </row>
    <row r="296" spans="1:23" s="155" customFormat="1" ht="14.4" hidden="1">
      <c r="A296" s="661"/>
      <c r="B296" s="205" t="s">
        <v>181</v>
      </c>
      <c r="C296" s="1989"/>
      <c r="D296" s="620"/>
      <c r="E296" s="1445"/>
      <c r="F296" s="1475"/>
      <c r="G296" s="1716"/>
      <c r="H296" s="1697"/>
      <c r="I296" s="1697"/>
      <c r="J296" s="675"/>
      <c r="K296" s="566"/>
      <c r="L296" s="566"/>
      <c r="M296" s="566"/>
      <c r="N296" s="566"/>
      <c r="O296" s="566"/>
      <c r="P296" s="566"/>
      <c r="Q296" s="566"/>
      <c r="R296" s="566"/>
      <c r="S296" s="566"/>
      <c r="T296" s="566"/>
      <c r="U296" s="566"/>
      <c r="V296" s="566"/>
      <c r="W296" s="566"/>
    </row>
    <row r="297" spans="1:23" s="155" customFormat="1" ht="14.4">
      <c r="A297" s="661"/>
      <c r="B297" s="673"/>
      <c r="C297" s="1989"/>
      <c r="D297" s="620"/>
      <c r="E297" s="1445"/>
      <c r="F297" s="1446"/>
      <c r="G297" s="1697"/>
      <c r="H297" s="1697"/>
      <c r="I297" s="1697"/>
      <c r="J297" s="675"/>
      <c r="K297" s="566"/>
      <c r="L297" s="566"/>
      <c r="M297" s="566"/>
      <c r="N297" s="566"/>
      <c r="O297" s="566"/>
      <c r="P297" s="566"/>
      <c r="Q297" s="566"/>
      <c r="R297" s="566"/>
      <c r="S297" s="566"/>
      <c r="T297" s="566"/>
      <c r="U297" s="566"/>
      <c r="V297" s="566"/>
      <c r="W297" s="566"/>
    </row>
    <row r="298" spans="1:23" s="200" customFormat="1" ht="14.4">
      <c r="A298" s="197" t="s">
        <v>281</v>
      </c>
      <c r="B298" s="229" t="s">
        <v>282</v>
      </c>
      <c r="C298" s="1990"/>
      <c r="D298" s="1944">
        <f t="shared" ref="D298:I298" si="76">SUM(D299:D299)</f>
        <v>4380000</v>
      </c>
      <c r="E298" s="1441">
        <f t="shared" si="76"/>
        <v>4380000</v>
      </c>
      <c r="F298" s="1442">
        <f t="shared" si="76"/>
        <v>9400000</v>
      </c>
      <c r="G298" s="1694">
        <f t="shared" si="76"/>
        <v>6200000</v>
      </c>
      <c r="H298" s="1694">
        <f t="shared" si="76"/>
        <v>0</v>
      </c>
      <c r="I298" s="1694">
        <f t="shared" si="76"/>
        <v>6200000</v>
      </c>
      <c r="J298" s="671"/>
      <c r="K298" s="574"/>
      <c r="L298" s="567"/>
      <c r="M298" s="567"/>
      <c r="N298" s="567"/>
      <c r="O298" s="567"/>
      <c r="P298" s="574"/>
      <c r="Q298" s="574"/>
      <c r="R298" s="574"/>
      <c r="S298" s="574"/>
      <c r="T298" s="574"/>
      <c r="U298" s="574"/>
      <c r="V298" s="574"/>
      <c r="W298" s="574"/>
    </row>
    <row r="299" spans="1:23" s="200" customFormat="1" ht="14.4">
      <c r="A299" s="664"/>
      <c r="B299" s="230" t="s">
        <v>273</v>
      </c>
      <c r="C299" s="1988" t="s">
        <v>283</v>
      </c>
      <c r="D299" s="1944">
        <f t="shared" ref="D299:I299" si="77">SUM(D300:D304)</f>
        <v>4380000</v>
      </c>
      <c r="E299" s="1441">
        <f t="shared" si="77"/>
        <v>4380000</v>
      </c>
      <c r="F299" s="1442">
        <f t="shared" si="77"/>
        <v>9400000</v>
      </c>
      <c r="G299" s="1694">
        <f t="shared" si="77"/>
        <v>6200000</v>
      </c>
      <c r="H299" s="1694">
        <f t="shared" si="77"/>
        <v>0</v>
      </c>
      <c r="I299" s="1694">
        <f t="shared" si="77"/>
        <v>6200000</v>
      </c>
      <c r="J299" s="671"/>
      <c r="K299" s="574"/>
      <c r="L299" s="567"/>
      <c r="M299" s="567"/>
      <c r="N299" s="567"/>
      <c r="O299" s="567"/>
      <c r="P299" s="574"/>
      <c r="Q299" s="574"/>
      <c r="R299" s="574"/>
      <c r="S299" s="574"/>
      <c r="T299" s="574"/>
      <c r="U299" s="574"/>
      <c r="V299" s="574"/>
      <c r="W299" s="574"/>
    </row>
    <row r="300" spans="1:23" s="155" customFormat="1">
      <c r="A300" s="661"/>
      <c r="B300" s="231" t="s">
        <v>625</v>
      </c>
      <c r="C300" s="1987" t="s">
        <v>283</v>
      </c>
      <c r="D300" s="1945">
        <v>680000</v>
      </c>
      <c r="E300" s="1470">
        <v>680000</v>
      </c>
      <c r="F300" s="1476">
        <v>2400000</v>
      </c>
      <c r="G300" s="1717">
        <v>1400000</v>
      </c>
      <c r="H300" s="1717"/>
      <c r="I300" s="1717">
        <f>+G300+H300</f>
        <v>1400000</v>
      </c>
      <c r="J300" s="675"/>
      <c r="K300" s="566"/>
      <c r="L300" s="566"/>
      <c r="M300" s="566"/>
      <c r="N300" s="566"/>
      <c r="O300" s="566"/>
      <c r="P300" s="566"/>
      <c r="Q300" s="566"/>
      <c r="R300" s="566"/>
      <c r="S300" s="566"/>
      <c r="T300" s="566"/>
      <c r="U300" s="566"/>
      <c r="V300" s="566"/>
      <c r="W300" s="566"/>
    </row>
    <row r="301" spans="1:23" s="155" customFormat="1">
      <c r="A301" s="661"/>
      <c r="B301" s="222" t="s">
        <v>627</v>
      </c>
      <c r="C301" s="1987" t="s">
        <v>283</v>
      </c>
      <c r="D301" s="161"/>
      <c r="E301" s="1445"/>
      <c r="F301" s="1473"/>
      <c r="G301" s="1698"/>
      <c r="H301" s="1697"/>
      <c r="I301" s="1717">
        <f>+G301+H301</f>
        <v>0</v>
      </c>
      <c r="J301" s="675"/>
      <c r="K301" s="566"/>
      <c r="L301" s="566"/>
      <c r="M301" s="566"/>
      <c r="N301" s="566"/>
      <c r="O301" s="566"/>
      <c r="P301" s="566"/>
      <c r="Q301" s="566"/>
      <c r="R301" s="566"/>
      <c r="S301" s="566"/>
      <c r="T301" s="566"/>
      <c r="U301" s="566"/>
      <c r="V301" s="566"/>
      <c r="W301" s="566"/>
    </row>
    <row r="302" spans="1:23" s="155" customFormat="1" ht="34.5" customHeight="1">
      <c r="A302" s="661"/>
      <c r="B302" s="207" t="s">
        <v>629</v>
      </c>
      <c r="C302" s="1987" t="s">
        <v>283</v>
      </c>
      <c r="D302" s="1783">
        <v>2000000</v>
      </c>
      <c r="E302" s="1445">
        <v>2000000</v>
      </c>
      <c r="F302" s="1477">
        <v>5000000</v>
      </c>
      <c r="G302" s="1718">
        <v>3500000</v>
      </c>
      <c r="H302" s="1718"/>
      <c r="I302" s="1717">
        <f>+G302+H302</f>
        <v>3500000</v>
      </c>
      <c r="J302" s="675"/>
      <c r="K302" s="566"/>
      <c r="L302" s="566"/>
      <c r="M302" s="566"/>
      <c r="N302" s="566"/>
      <c r="O302" s="566"/>
      <c r="P302" s="566"/>
      <c r="Q302" s="566"/>
      <c r="R302" s="566"/>
      <c r="S302" s="566"/>
      <c r="T302" s="566"/>
      <c r="U302" s="566"/>
      <c r="V302" s="566"/>
      <c r="W302" s="566"/>
    </row>
    <row r="303" spans="1:23" s="155" customFormat="1">
      <c r="A303" s="661"/>
      <c r="B303" s="222" t="s">
        <v>626</v>
      </c>
      <c r="C303" s="1987" t="s">
        <v>283</v>
      </c>
      <c r="D303" s="1783">
        <v>1200000</v>
      </c>
      <c r="E303" s="1445">
        <v>1200000</v>
      </c>
      <c r="F303" s="1473">
        <v>2000000</v>
      </c>
      <c r="G303" s="1698">
        <v>1300000</v>
      </c>
      <c r="H303" s="1698"/>
      <c r="I303" s="1717">
        <f>+G303+H303</f>
        <v>1300000</v>
      </c>
      <c r="J303" s="675"/>
      <c r="K303" s="566"/>
      <c r="L303" s="566"/>
      <c r="M303" s="566"/>
      <c r="N303" s="566"/>
      <c r="O303" s="566"/>
      <c r="P303" s="566"/>
      <c r="Q303" s="566"/>
      <c r="R303" s="566"/>
      <c r="S303" s="566"/>
      <c r="T303" s="566"/>
      <c r="U303" s="566"/>
      <c r="V303" s="566"/>
      <c r="W303" s="566"/>
    </row>
    <row r="304" spans="1:23" s="200" customFormat="1" ht="28.8">
      <c r="A304" s="678"/>
      <c r="B304" s="211" t="s">
        <v>628</v>
      </c>
      <c r="C304" s="1988" t="s">
        <v>283</v>
      </c>
      <c r="D304" s="1944">
        <f t="shared" ref="D304:I304" si="78">SUM(D305:D314)</f>
        <v>500000</v>
      </c>
      <c r="E304" s="1441">
        <f t="shared" si="78"/>
        <v>500000</v>
      </c>
      <c r="F304" s="1442">
        <f t="shared" si="78"/>
        <v>0</v>
      </c>
      <c r="G304" s="1694">
        <f>SUM(G305:G314)</f>
        <v>0</v>
      </c>
      <c r="H304" s="1694">
        <f t="shared" si="78"/>
        <v>0</v>
      </c>
      <c r="I304" s="1694">
        <f t="shared" si="78"/>
        <v>0</v>
      </c>
      <c r="J304" s="671"/>
      <c r="K304" s="574"/>
      <c r="L304" s="567"/>
      <c r="M304" s="567"/>
      <c r="N304" s="567"/>
      <c r="O304" s="567"/>
      <c r="P304" s="574"/>
      <c r="Q304" s="574"/>
      <c r="R304" s="574"/>
      <c r="S304" s="574"/>
      <c r="T304" s="574"/>
      <c r="U304" s="574"/>
      <c r="V304" s="574"/>
      <c r="W304" s="574"/>
    </row>
    <row r="305" spans="1:23" s="155" customFormat="1" ht="14.4" hidden="1">
      <c r="A305" s="679"/>
      <c r="B305" s="205" t="s">
        <v>155</v>
      </c>
      <c r="C305" s="1989"/>
      <c r="D305" s="620"/>
      <c r="E305" s="1449"/>
      <c r="F305" s="1450"/>
      <c r="G305" s="1700"/>
      <c r="H305" s="1700"/>
      <c r="I305" s="1700"/>
      <c r="J305" s="675"/>
      <c r="K305" s="566"/>
      <c r="L305" s="566"/>
      <c r="M305" s="566"/>
      <c r="N305" s="566"/>
      <c r="O305" s="566"/>
      <c r="P305" s="566"/>
      <c r="Q305" s="566"/>
      <c r="R305" s="566"/>
      <c r="S305" s="566"/>
      <c r="T305" s="566"/>
      <c r="U305" s="566"/>
      <c r="V305" s="566"/>
      <c r="W305" s="566"/>
    </row>
    <row r="306" spans="1:23" s="155" customFormat="1" ht="14.4" hidden="1">
      <c r="A306" s="679"/>
      <c r="B306" s="205" t="s">
        <v>279</v>
      </c>
      <c r="C306" s="1989"/>
      <c r="D306" s="620"/>
      <c r="E306" s="1449"/>
      <c r="F306" s="1450"/>
      <c r="G306" s="1700"/>
      <c r="H306" s="1700"/>
      <c r="I306" s="1700"/>
      <c r="J306" s="675"/>
      <c r="K306" s="566"/>
      <c r="L306" s="566"/>
      <c r="M306" s="566"/>
      <c r="N306" s="629"/>
      <c r="O306" s="566"/>
      <c r="P306" s="566"/>
      <c r="Q306" s="566"/>
      <c r="R306" s="566"/>
      <c r="S306" s="566"/>
      <c r="T306" s="566"/>
      <c r="U306" s="566"/>
      <c r="V306" s="566"/>
      <c r="W306" s="566"/>
    </row>
    <row r="307" spans="1:23" s="155" customFormat="1" ht="14.4" hidden="1">
      <c r="A307" s="679"/>
      <c r="B307" s="205" t="s">
        <v>157</v>
      </c>
      <c r="C307" s="1989"/>
      <c r="D307" s="620"/>
      <c r="E307" s="1449"/>
      <c r="F307" s="1450"/>
      <c r="G307" s="1700"/>
      <c r="H307" s="1700"/>
      <c r="I307" s="1700"/>
      <c r="J307" s="675"/>
      <c r="K307" s="566"/>
      <c r="L307" s="566"/>
      <c r="M307" s="566"/>
      <c r="N307" s="566"/>
      <c r="O307" s="566"/>
      <c r="P307" s="566"/>
      <c r="Q307" s="566"/>
      <c r="R307" s="566"/>
      <c r="S307" s="566"/>
      <c r="T307" s="566"/>
      <c r="U307" s="566"/>
      <c r="V307" s="566"/>
      <c r="W307" s="566"/>
    </row>
    <row r="308" spans="1:23" s="155" customFormat="1" ht="14.4" hidden="1">
      <c r="A308" s="679"/>
      <c r="B308" s="205" t="s">
        <v>159</v>
      </c>
      <c r="C308" s="1989"/>
      <c r="D308" s="620"/>
      <c r="E308" s="1449"/>
      <c r="F308" s="1450"/>
      <c r="G308" s="1700"/>
      <c r="H308" s="1700"/>
      <c r="I308" s="1700"/>
      <c r="J308" s="675"/>
      <c r="K308" s="566"/>
      <c r="L308" s="566"/>
      <c r="M308" s="566"/>
      <c r="N308" s="566"/>
      <c r="O308" s="566"/>
      <c r="P308" s="566"/>
      <c r="Q308" s="566"/>
      <c r="R308" s="566"/>
      <c r="S308" s="566"/>
      <c r="T308" s="566"/>
      <c r="U308" s="566"/>
      <c r="V308" s="566"/>
      <c r="W308" s="566"/>
    </row>
    <row r="309" spans="1:23" s="155" customFormat="1" hidden="1">
      <c r="A309" s="679"/>
      <c r="B309" s="205" t="s">
        <v>158</v>
      </c>
      <c r="C309" s="1989"/>
      <c r="D309" s="620"/>
      <c r="E309" s="1478"/>
      <c r="F309" s="1479"/>
      <c r="G309" s="1719"/>
      <c r="H309" s="1719"/>
      <c r="I309" s="1719"/>
      <c r="J309" s="675"/>
      <c r="K309" s="566"/>
      <c r="L309" s="576"/>
      <c r="M309" s="576"/>
      <c r="N309" s="576"/>
      <c r="O309" s="576"/>
      <c r="P309" s="566"/>
      <c r="Q309" s="566"/>
      <c r="R309" s="566"/>
      <c r="S309" s="566"/>
      <c r="T309" s="566"/>
      <c r="U309" s="566"/>
      <c r="V309" s="566"/>
      <c r="W309" s="566"/>
    </row>
    <row r="310" spans="1:23" s="155" customFormat="1" hidden="1">
      <c r="A310" s="679"/>
      <c r="B310" s="205" t="s">
        <v>178</v>
      </c>
      <c r="C310" s="1989"/>
      <c r="D310" s="620"/>
      <c r="E310" s="1478"/>
      <c r="F310" s="1479"/>
      <c r="G310" s="1719"/>
      <c r="H310" s="1719"/>
      <c r="I310" s="1719"/>
      <c r="J310" s="675"/>
      <c r="K310" s="566"/>
      <c r="L310" s="570"/>
      <c r="M310" s="570"/>
      <c r="N310" s="570"/>
      <c r="O310" s="570"/>
      <c r="P310" s="566"/>
      <c r="Q310" s="566"/>
      <c r="R310" s="566"/>
      <c r="S310" s="566"/>
      <c r="T310" s="566"/>
      <c r="U310" s="566"/>
      <c r="V310" s="566"/>
      <c r="W310" s="566"/>
    </row>
    <row r="311" spans="1:23" s="155" customFormat="1" hidden="1">
      <c r="A311" s="679"/>
      <c r="B311" s="205" t="s">
        <v>163</v>
      </c>
      <c r="C311" s="1989"/>
      <c r="D311" s="620"/>
      <c r="E311" s="1478"/>
      <c r="F311" s="1479"/>
      <c r="G311" s="1719"/>
      <c r="H311" s="1719"/>
      <c r="I311" s="1719"/>
      <c r="J311" s="675"/>
      <c r="K311" s="566"/>
      <c r="L311" s="142" t="s">
        <v>284</v>
      </c>
      <c r="M311" s="557"/>
      <c r="N311" s="557"/>
      <c r="O311" s="557"/>
      <c r="P311" s="566"/>
      <c r="Q311" s="566"/>
      <c r="R311" s="566"/>
      <c r="S311" s="566"/>
      <c r="T311" s="566"/>
      <c r="U311" s="566"/>
      <c r="V311" s="566"/>
      <c r="W311" s="566"/>
    </row>
    <row r="312" spans="1:23" s="155" customFormat="1" hidden="1">
      <c r="A312" s="679"/>
      <c r="B312" s="205" t="s">
        <v>285</v>
      </c>
      <c r="C312" s="1989"/>
      <c r="D312" s="620"/>
      <c r="E312" s="1478"/>
      <c r="F312" s="1479"/>
      <c r="G312" s="1719"/>
      <c r="H312" s="1719"/>
      <c r="I312" s="1719"/>
      <c r="J312" s="675"/>
      <c r="K312" s="155" t="s">
        <v>286</v>
      </c>
      <c r="L312" s="761">
        <f>F322+F324</f>
        <v>772378500</v>
      </c>
      <c r="M312" s="761">
        <f>H322+H324</f>
        <v>0</v>
      </c>
      <c r="N312" s="761">
        <f>I322+I324</f>
        <v>772379000</v>
      </c>
      <c r="O312" s="761" t="e">
        <f>#REF!+#REF!</f>
        <v>#REF!</v>
      </c>
      <c r="P312" s="582"/>
      <c r="Q312" s="582"/>
      <c r="R312" s="582"/>
      <c r="S312" s="582"/>
      <c r="T312" s="582"/>
      <c r="U312" s="582"/>
      <c r="V312" s="582"/>
      <c r="W312" s="582"/>
    </row>
    <row r="313" spans="1:23" s="155" customFormat="1" hidden="1">
      <c r="A313" s="679"/>
      <c r="B313" s="205" t="s">
        <v>167</v>
      </c>
      <c r="C313" s="1989"/>
      <c r="D313" s="620"/>
      <c r="E313" s="1478"/>
      <c r="F313" s="1479"/>
      <c r="G313" s="1719"/>
      <c r="H313" s="1719"/>
      <c r="I313" s="1719"/>
      <c r="J313" s="675"/>
      <c r="K313" s="155" t="s">
        <v>287</v>
      </c>
      <c r="L313" s="761">
        <f>F318+F320</f>
        <v>150000000</v>
      </c>
      <c r="M313" s="761">
        <f>H318+H320</f>
        <v>0</v>
      </c>
      <c r="N313" s="761">
        <f>I318+I320</f>
        <v>150000000</v>
      </c>
      <c r="O313" s="761" t="e">
        <f>#REF!+#REF!</f>
        <v>#REF!</v>
      </c>
      <c r="P313" s="582"/>
      <c r="Q313" s="582"/>
      <c r="R313" s="582"/>
      <c r="S313" s="582"/>
      <c r="T313" s="582"/>
      <c r="U313" s="582"/>
      <c r="V313" s="582"/>
      <c r="W313" s="582"/>
    </row>
    <row r="314" spans="1:23" s="155" customFormat="1">
      <c r="A314" s="679"/>
      <c r="B314" s="205" t="s">
        <v>181</v>
      </c>
      <c r="C314" s="1989"/>
      <c r="D314" s="1961">
        <v>500000</v>
      </c>
      <c r="E314" s="1449">
        <v>500000</v>
      </c>
      <c r="F314" s="1450"/>
      <c r="G314" s="1700"/>
      <c r="H314" s="1700"/>
      <c r="I314" s="1700">
        <f>+G314+H314</f>
        <v>0</v>
      </c>
      <c r="J314" s="675"/>
      <c r="K314" s="566"/>
      <c r="L314" s="680"/>
      <c r="M314" s="680"/>
      <c r="N314" s="680"/>
      <c r="O314" s="680"/>
      <c r="P314" s="582"/>
      <c r="Q314" s="582"/>
      <c r="R314" s="582"/>
      <c r="S314" s="582"/>
      <c r="T314" s="582"/>
      <c r="U314" s="582"/>
      <c r="V314" s="582"/>
      <c r="W314" s="582"/>
    </row>
    <row r="315" spans="1:23" s="155" customFormat="1">
      <c r="A315" s="679"/>
      <c r="B315" s="665"/>
      <c r="C315" s="1989"/>
      <c r="D315" s="620"/>
      <c r="E315" s="1425"/>
      <c r="F315" s="1426"/>
      <c r="G315" s="1684"/>
      <c r="H315" s="1684"/>
      <c r="I315" s="1684"/>
      <c r="J315" s="675"/>
      <c r="K315" s="566"/>
      <c r="L315" s="762">
        <f>L312*0.001</f>
        <v>772378.5</v>
      </c>
      <c r="M315" s="762">
        <f>M312*0.001</f>
        <v>0</v>
      </c>
      <c r="N315" s="762">
        <f>N312*0.001</f>
        <v>772379</v>
      </c>
      <c r="O315" s="762" t="e">
        <f>O312*0.001</f>
        <v>#REF!</v>
      </c>
      <c r="P315" s="566"/>
      <c r="Q315" s="566"/>
      <c r="R315" s="566"/>
      <c r="S315" s="566"/>
      <c r="T315" s="566"/>
      <c r="U315" s="566"/>
      <c r="V315" s="566"/>
      <c r="W315" s="566"/>
    </row>
    <row r="316" spans="1:23" s="179" customFormat="1">
      <c r="A316" s="168" t="s">
        <v>29</v>
      </c>
      <c r="B316" s="227" t="s">
        <v>288</v>
      </c>
      <c r="C316" s="1995" t="s">
        <v>115</v>
      </c>
      <c r="D316" s="1948">
        <f t="shared" ref="D316:I316" si="79">SUM(D318,D320,D322,D324)</f>
        <v>915783000</v>
      </c>
      <c r="E316" s="1417">
        <f t="shared" si="79"/>
        <v>915783000</v>
      </c>
      <c r="F316" s="1418">
        <f t="shared" si="79"/>
        <v>922378500</v>
      </c>
      <c r="G316" s="1679">
        <f>SUM(G318,G320,G322,G324)</f>
        <v>922379000</v>
      </c>
      <c r="H316" s="1679">
        <f t="shared" si="79"/>
        <v>0</v>
      </c>
      <c r="I316" s="1679">
        <f t="shared" si="79"/>
        <v>922379000</v>
      </c>
      <c r="J316" s="671"/>
      <c r="K316" s="569"/>
      <c r="L316" s="763">
        <f>L313*0.005</f>
        <v>750000</v>
      </c>
      <c r="M316" s="763">
        <f>M313*0.005</f>
        <v>0</v>
      </c>
      <c r="N316" s="763">
        <f>N313*0.005</f>
        <v>750000</v>
      </c>
      <c r="O316" s="763" t="e">
        <f>O313*0.005</f>
        <v>#REF!</v>
      </c>
      <c r="P316" s="569"/>
      <c r="Q316" s="569"/>
      <c r="R316" s="569"/>
      <c r="S316" s="569"/>
      <c r="T316" s="569"/>
      <c r="U316" s="569"/>
      <c r="V316" s="569"/>
      <c r="W316" s="569"/>
    </row>
    <row r="317" spans="1:23" s="183" customFormat="1">
      <c r="A317" s="628"/>
      <c r="B317" s="181" t="s">
        <v>289</v>
      </c>
      <c r="C317" s="2000"/>
      <c r="D317" s="681"/>
      <c r="E317" s="1431"/>
      <c r="F317" s="1432"/>
      <c r="G317" s="1688"/>
      <c r="H317" s="1688"/>
      <c r="I317" s="1688"/>
      <c r="J317" s="675"/>
      <c r="K317" s="570"/>
      <c r="L317" s="762">
        <f>L316+L315</f>
        <v>1522378.5</v>
      </c>
      <c r="M317" s="762">
        <f>M316+M315</f>
        <v>0</v>
      </c>
      <c r="N317" s="762">
        <f>N316+N315</f>
        <v>1522379</v>
      </c>
      <c r="O317" s="762" t="e">
        <f>O316+O315</f>
        <v>#REF!</v>
      </c>
      <c r="P317" s="570"/>
      <c r="Q317" s="570"/>
      <c r="R317" s="570"/>
      <c r="S317" s="570"/>
      <c r="T317" s="570"/>
      <c r="U317" s="570"/>
      <c r="V317" s="570"/>
      <c r="W317" s="570"/>
    </row>
    <row r="318" spans="1:23" s="142" customFormat="1" ht="15" customHeight="1">
      <c r="A318" s="679"/>
      <c r="B318" s="160" t="s">
        <v>290</v>
      </c>
      <c r="C318" s="2001"/>
      <c r="D318" s="1963">
        <v>146341000</v>
      </c>
      <c r="E318" s="1480">
        <v>146341000</v>
      </c>
      <c r="F318" s="1481">
        <v>146341000</v>
      </c>
      <c r="G318" s="1720">
        <v>146341000</v>
      </c>
      <c r="H318" s="1720"/>
      <c r="I318" s="1720">
        <f>+H318+G318</f>
        <v>146341000</v>
      </c>
      <c r="J318" s="675"/>
      <c r="K318" s="557"/>
      <c r="L318" s="683"/>
      <c r="M318" s="557"/>
      <c r="N318" s="565"/>
      <c r="O318" s="557"/>
      <c r="P318" s="557"/>
      <c r="Q318" s="557"/>
      <c r="R318" s="557"/>
      <c r="S318" s="557"/>
      <c r="T318" s="557"/>
      <c r="U318" s="557"/>
      <c r="V318" s="557"/>
      <c r="W318" s="557"/>
    </row>
    <row r="319" spans="1:23" s="142" customFormat="1" ht="15.75" customHeight="1">
      <c r="A319" s="679"/>
      <c r="B319" s="685"/>
      <c r="C319" s="2001"/>
      <c r="D319" s="682"/>
      <c r="E319" s="1480"/>
      <c r="F319" s="1481"/>
      <c r="G319" s="1720"/>
      <c r="H319" s="1720"/>
      <c r="I319" s="1720"/>
      <c r="J319" s="675"/>
      <c r="K319" s="557"/>
      <c r="L319" s="683"/>
      <c r="M319" s="557"/>
      <c r="N319" s="565"/>
      <c r="O319" s="557"/>
      <c r="P319" s="557"/>
      <c r="Q319" s="557"/>
      <c r="R319" s="557"/>
      <c r="S319" s="557"/>
      <c r="T319" s="557"/>
      <c r="U319" s="557"/>
      <c r="V319" s="557"/>
      <c r="W319" s="557"/>
    </row>
    <row r="320" spans="1:23" s="142" customFormat="1" ht="16.2">
      <c r="A320" s="679"/>
      <c r="B320" s="160" t="s">
        <v>291</v>
      </c>
      <c r="C320" s="2001"/>
      <c r="D320" s="1963">
        <v>3659000</v>
      </c>
      <c r="E320" s="1480">
        <v>3659000</v>
      </c>
      <c r="F320" s="1481">
        <v>3659000</v>
      </c>
      <c r="G320" s="1720">
        <v>3659000</v>
      </c>
      <c r="H320" s="1720"/>
      <c r="I320" s="1720">
        <f>+H320+G320</f>
        <v>3659000</v>
      </c>
      <c r="J320" s="675"/>
      <c r="K320" s="557"/>
      <c r="L320" s="557"/>
      <c r="M320" s="684"/>
      <c r="N320" s="565"/>
      <c r="O320" s="557"/>
      <c r="P320" s="557"/>
      <c r="Q320" s="557"/>
      <c r="R320" s="557"/>
      <c r="S320" s="557"/>
      <c r="T320" s="557"/>
      <c r="U320" s="557"/>
      <c r="V320" s="557"/>
      <c r="W320" s="557"/>
    </row>
    <row r="321" spans="1:23" s="142" customFormat="1" ht="14.4">
      <c r="A321" s="679"/>
      <c r="B321" s="685"/>
      <c r="C321" s="2001"/>
      <c r="D321" s="682"/>
      <c r="E321" s="1480"/>
      <c r="F321" s="1481"/>
      <c r="G321" s="1720"/>
      <c r="H321" s="1720"/>
      <c r="I321" s="1720"/>
      <c r="J321" s="675"/>
      <c r="K321" s="557"/>
      <c r="L321" s="557"/>
      <c r="M321" s="557"/>
      <c r="N321" s="557"/>
      <c r="O321" s="557"/>
      <c r="P321" s="557"/>
      <c r="Q321" s="557"/>
      <c r="R321" s="557"/>
      <c r="S321" s="557"/>
      <c r="T321" s="557"/>
      <c r="U321" s="557"/>
      <c r="V321" s="557"/>
      <c r="W321" s="557"/>
    </row>
    <row r="322" spans="1:23" s="142" customFormat="1" ht="16.2">
      <c r="A322" s="679"/>
      <c r="B322" s="160" t="s">
        <v>292</v>
      </c>
      <c r="C322" s="2001"/>
      <c r="D322" s="1963">
        <v>747105000</v>
      </c>
      <c r="E322" s="1480">
        <v>747105000</v>
      </c>
      <c r="F322" s="1481">
        <v>753540000</v>
      </c>
      <c r="G322" s="1720">
        <v>753540000</v>
      </c>
      <c r="H322" s="1720"/>
      <c r="I322" s="1720">
        <f>+H322+G322</f>
        <v>753540000</v>
      </c>
      <c r="J322" s="675"/>
      <c r="K322" s="557"/>
      <c r="L322" s="232" t="s">
        <v>293</v>
      </c>
      <c r="M322" s="686"/>
      <c r="N322" s="686"/>
      <c r="O322" s="764">
        <f>H318*0.025</f>
        <v>0</v>
      </c>
      <c r="P322" s="764">
        <f>I318*0.025</f>
        <v>3658525</v>
      </c>
      <c r="Q322" s="765" t="e">
        <f>#REF!*0.025</f>
        <v>#REF!</v>
      </c>
      <c r="R322" s="557"/>
      <c r="S322" s="557"/>
      <c r="T322" s="557"/>
      <c r="U322" s="557"/>
      <c r="V322" s="557"/>
      <c r="W322" s="557"/>
    </row>
    <row r="323" spans="1:23" s="183" customFormat="1">
      <c r="A323" s="628"/>
      <c r="B323" s="673"/>
      <c r="C323" s="1989"/>
      <c r="D323" s="620"/>
      <c r="E323" s="1482"/>
      <c r="F323" s="1483"/>
      <c r="G323" s="1721"/>
      <c r="H323" s="1721"/>
      <c r="I323" s="1721"/>
      <c r="J323" s="675"/>
      <c r="K323" s="570"/>
      <c r="L323" s="691"/>
      <c r="M323" s="687"/>
      <c r="N323" s="687"/>
      <c r="O323" s="766">
        <f>H322*0.025</f>
        <v>0</v>
      </c>
      <c r="P323" s="766">
        <f>I322*0.025</f>
        <v>18838500</v>
      </c>
      <c r="Q323" s="767" t="e">
        <f>#REF!*0.025</f>
        <v>#REF!</v>
      </c>
      <c r="R323" s="570"/>
      <c r="S323" s="570"/>
      <c r="T323" s="570"/>
      <c r="U323" s="570"/>
      <c r="V323" s="570"/>
      <c r="W323" s="570"/>
    </row>
    <row r="324" spans="1:23" s="142" customFormat="1" ht="16.2">
      <c r="A324" s="679"/>
      <c r="B324" s="160" t="s">
        <v>294</v>
      </c>
      <c r="C324" s="2001"/>
      <c r="D324" s="1963">
        <v>18678000</v>
      </c>
      <c r="E324" s="1480">
        <v>18678000</v>
      </c>
      <c r="F324" s="1481">
        <v>18838500</v>
      </c>
      <c r="G324" s="1720">
        <v>18839000</v>
      </c>
      <c r="H324" s="1720"/>
      <c r="I324" s="1720">
        <f>+H324+G324</f>
        <v>18839000</v>
      </c>
      <c r="J324" s="675"/>
      <c r="K324" s="768">
        <f>F318*0.025</f>
        <v>3658525</v>
      </c>
      <c r="L324" s="571"/>
      <c r="M324" s="571"/>
      <c r="N324" s="571"/>
      <c r="O324" s="688"/>
      <c r="P324" s="557"/>
      <c r="Q324" s="557"/>
      <c r="R324" s="557"/>
      <c r="S324" s="557"/>
      <c r="T324" s="557"/>
      <c r="U324" s="557"/>
      <c r="V324" s="557"/>
      <c r="W324" s="557"/>
    </row>
    <row r="325" spans="1:23" s="142" customFormat="1" ht="14.4">
      <c r="A325" s="679"/>
      <c r="B325" s="685"/>
      <c r="C325" s="2001"/>
      <c r="D325" s="682"/>
      <c r="E325" s="1484"/>
      <c r="F325" s="1485"/>
      <c r="G325" s="1722"/>
      <c r="H325" s="1722"/>
      <c r="I325" s="1722"/>
      <c r="J325" s="675"/>
      <c r="K325" s="557"/>
      <c r="L325" s="689"/>
      <c r="M325" s="689"/>
      <c r="N325" s="689"/>
      <c r="O325" s="689"/>
      <c r="P325" s="557"/>
      <c r="Q325" s="557"/>
      <c r="R325" s="557"/>
      <c r="S325" s="557"/>
      <c r="T325" s="557"/>
      <c r="U325" s="557"/>
      <c r="V325" s="557"/>
      <c r="W325" s="557"/>
    </row>
    <row r="326" spans="1:23" s="237" customFormat="1">
      <c r="A326" s="235" t="s">
        <v>31</v>
      </c>
      <c r="B326" s="236" t="s">
        <v>73</v>
      </c>
      <c r="C326" s="2002" t="s">
        <v>81</v>
      </c>
      <c r="D326" s="1964">
        <f t="shared" ref="D326:I326" si="80">SUM(D328:D329)</f>
        <v>4140000</v>
      </c>
      <c r="E326" s="1486">
        <f t="shared" si="80"/>
        <v>4118000</v>
      </c>
      <c r="F326" s="1487">
        <f t="shared" si="80"/>
        <v>1650000</v>
      </c>
      <c r="G326" s="1723">
        <f>SUM(G328:G329)</f>
        <v>1650000</v>
      </c>
      <c r="H326" s="1723">
        <f t="shared" si="80"/>
        <v>0</v>
      </c>
      <c r="I326" s="1723">
        <f t="shared" si="80"/>
        <v>1650000</v>
      </c>
      <c r="J326" s="671"/>
      <c r="K326" s="769">
        <f>F322*0.025</f>
        <v>18838500</v>
      </c>
      <c r="L326" s="630"/>
      <c r="M326" s="567"/>
      <c r="N326" s="567"/>
      <c r="O326" s="630"/>
      <c r="P326" s="690"/>
      <c r="Q326" s="690"/>
      <c r="R326" s="690"/>
      <c r="S326" s="690"/>
      <c r="T326" s="690"/>
      <c r="U326" s="690"/>
      <c r="V326" s="690"/>
      <c r="W326" s="690"/>
    </row>
    <row r="327" spans="1:23" s="142" customFormat="1">
      <c r="A327" s="628"/>
      <c r="B327" s="181" t="s">
        <v>295</v>
      </c>
      <c r="C327" s="2000"/>
      <c r="D327" s="681"/>
      <c r="E327" s="1478"/>
      <c r="F327" s="1479"/>
      <c r="G327" s="1719"/>
      <c r="H327" s="1719"/>
      <c r="I327" s="1719"/>
      <c r="J327" s="675"/>
      <c r="K327" s="557"/>
      <c r="L327" s="566"/>
      <c r="M327" s="566"/>
      <c r="N327" s="566"/>
      <c r="O327" s="566"/>
      <c r="P327" s="557"/>
      <c r="Q327" s="557"/>
      <c r="R327" s="557"/>
      <c r="S327" s="557"/>
      <c r="T327" s="557"/>
      <c r="U327" s="557"/>
      <c r="V327" s="557"/>
      <c r="W327" s="557"/>
    </row>
    <row r="328" spans="1:23" s="142" customFormat="1">
      <c r="A328" s="628"/>
      <c r="B328" s="181" t="s">
        <v>296</v>
      </c>
      <c r="C328" s="1987" t="s">
        <v>136</v>
      </c>
      <c r="D328" s="1965">
        <v>2621000</v>
      </c>
      <c r="E328" s="1478">
        <v>2600000</v>
      </c>
      <c r="F328" s="1479">
        <v>200000</v>
      </c>
      <c r="G328" s="1719">
        <v>200000</v>
      </c>
      <c r="H328" s="1719"/>
      <c r="I328" s="1719">
        <f>+H328+G328</f>
        <v>200000</v>
      </c>
      <c r="J328" s="675"/>
      <c r="K328" s="557"/>
      <c r="L328" s="566"/>
      <c r="M328" s="566"/>
      <c r="N328" s="566"/>
      <c r="O328" s="163" t="s">
        <v>297</v>
      </c>
      <c r="P328" s="557"/>
      <c r="Q328" s="557"/>
      <c r="R328" s="557"/>
      <c r="S328" s="557"/>
      <c r="T328" s="557"/>
      <c r="U328" s="557"/>
      <c r="V328" s="557"/>
      <c r="W328" s="557"/>
    </row>
    <row r="329" spans="1:23" s="142" customFormat="1">
      <c r="A329" s="628"/>
      <c r="B329" s="181" t="s">
        <v>298</v>
      </c>
      <c r="C329" s="1987" t="s">
        <v>299</v>
      </c>
      <c r="D329" s="1966">
        <v>1519000</v>
      </c>
      <c r="E329" s="1478">
        <v>1518000</v>
      </c>
      <c r="F329" s="1479">
        <v>1450000</v>
      </c>
      <c r="G329" s="1719">
        <v>1450000</v>
      </c>
      <c r="H329" s="1719"/>
      <c r="I329" s="1719">
        <f>+H329+G329</f>
        <v>1450000</v>
      </c>
      <c r="J329" s="675"/>
      <c r="K329" s="557"/>
      <c r="L329" s="566"/>
      <c r="M329" s="565"/>
      <c r="N329" s="566"/>
      <c r="O329" s="566"/>
      <c r="P329" s="557"/>
      <c r="Q329" s="557"/>
      <c r="R329" s="557"/>
      <c r="S329" s="557"/>
      <c r="T329" s="557"/>
      <c r="U329" s="557"/>
      <c r="V329" s="557"/>
      <c r="W329" s="557"/>
    </row>
    <row r="330" spans="1:23" s="142" customFormat="1" ht="12.75" customHeight="1">
      <c r="A330" s="628"/>
      <c r="B330" s="694"/>
      <c r="C330" s="2000"/>
      <c r="D330" s="681"/>
      <c r="E330" s="1478"/>
      <c r="F330" s="1479"/>
      <c r="G330" s="1719"/>
      <c r="H330" s="1719"/>
      <c r="I330" s="1719"/>
      <c r="J330" s="675"/>
      <c r="K330" s="557"/>
      <c r="L330" s="238" t="s">
        <v>300</v>
      </c>
      <c r="M330" s="692"/>
      <c r="N330" s="692"/>
      <c r="O330" s="692"/>
      <c r="P330" s="693"/>
      <c r="Q330" s="557"/>
      <c r="R330" s="557"/>
      <c r="S330" s="557"/>
      <c r="T330" s="557"/>
      <c r="U330" s="557"/>
      <c r="V330" s="557"/>
      <c r="W330" s="557"/>
    </row>
    <row r="331" spans="1:23" s="159" customFormat="1">
      <c r="A331" s="156" t="s">
        <v>301</v>
      </c>
      <c r="B331" s="157" t="s">
        <v>302</v>
      </c>
      <c r="C331" s="2003" t="s">
        <v>81</v>
      </c>
      <c r="D331" s="1967">
        <f t="shared" ref="D331:I331" si="81">(D71+D90-D118)+D59</f>
        <v>163750000</v>
      </c>
      <c r="E331" s="1403">
        <f t="shared" si="81"/>
        <v>323203000</v>
      </c>
      <c r="F331" s="1404">
        <f t="shared" si="81"/>
        <v>-83901718</v>
      </c>
      <c r="G331" s="1674">
        <f t="shared" si="81"/>
        <v>115509000</v>
      </c>
      <c r="H331" s="1674">
        <f t="shared" si="81"/>
        <v>0</v>
      </c>
      <c r="I331" s="1674">
        <f t="shared" si="81"/>
        <v>115509000</v>
      </c>
      <c r="J331" s="698"/>
      <c r="K331" s="564"/>
      <c r="L331" s="770">
        <f>F331-F332</f>
        <v>40087036.690000057</v>
      </c>
      <c r="M331" s="770">
        <f>E331-E332</f>
        <v>28955000</v>
      </c>
      <c r="N331" s="770">
        <f>H331-H332</f>
        <v>0</v>
      </c>
      <c r="O331" s="771">
        <f>I331-I332</f>
        <v>0</v>
      </c>
      <c r="P331" s="772" t="e">
        <f>#REF!-#REF!</f>
        <v>#REF!</v>
      </c>
      <c r="Q331" s="772">
        <f>G331-G332</f>
        <v>0</v>
      </c>
      <c r="R331" s="564"/>
      <c r="S331" s="564"/>
      <c r="T331" s="564"/>
      <c r="U331" s="564"/>
      <c r="V331" s="564"/>
      <c r="W331" s="564"/>
    </row>
    <row r="332" spans="1:23" s="163" customFormat="1" ht="20.25" customHeight="1">
      <c r="A332" s="619"/>
      <c r="B332" s="160" t="s">
        <v>82</v>
      </c>
      <c r="C332" s="1989"/>
      <c r="D332" s="1968"/>
      <c r="E332" s="1488">
        <f>SUM(E333:E336,E339)+SUM(E343:E348)</f>
        <v>294248000</v>
      </c>
      <c r="F332" s="1489">
        <f>SUM(F333:F336,F339)+SUM(F343:F348)</f>
        <v>-123988754.69000006</v>
      </c>
      <c r="G332" s="1780">
        <f>SUM(G333:G336,G339)+SUM(G343:G348)</f>
        <v>115509000</v>
      </c>
      <c r="H332" s="1780">
        <f>SUM(H333:H336,H339)+SUM(H343:H348)</f>
        <v>0</v>
      </c>
      <c r="I332" s="1780">
        <f>+H332+G332</f>
        <v>115509000</v>
      </c>
      <c r="J332" s="675"/>
      <c r="K332" s="565"/>
      <c r="L332" s="701"/>
      <c r="M332" s="702"/>
      <c r="N332" s="703"/>
      <c r="O332" s="703"/>
      <c r="P332" s="706"/>
      <c r="Q332" s="565"/>
      <c r="R332" s="689"/>
      <c r="S332" s="565"/>
      <c r="T332" s="565"/>
      <c r="U332" s="565"/>
      <c r="V332" s="565"/>
      <c r="W332" s="565"/>
    </row>
    <row r="333" spans="1:23" s="299" customFormat="1" ht="15.75" customHeight="1">
      <c r="A333" s="295" t="s">
        <v>14</v>
      </c>
      <c r="B333" s="296" t="s">
        <v>662</v>
      </c>
      <c r="C333" s="2004" t="s">
        <v>81</v>
      </c>
      <c r="D333" s="297">
        <v>172001000</v>
      </c>
      <c r="E333" s="1490">
        <v>340016000</v>
      </c>
      <c r="F333" s="1490"/>
      <c r="G333" s="1724">
        <v>198428000</v>
      </c>
      <c r="H333" s="1724"/>
      <c r="I333" s="1728">
        <f t="shared" ref="I333:I348" si="82">+H333+G333</f>
        <v>198428000</v>
      </c>
      <c r="J333" s="298" t="s">
        <v>652</v>
      </c>
      <c r="K333" s="704"/>
      <c r="L333" s="704"/>
      <c r="M333" s="704"/>
      <c r="N333" s="704"/>
      <c r="O333" s="704"/>
      <c r="P333" s="704"/>
      <c r="Q333" s="704"/>
      <c r="R333" s="704"/>
      <c r="S333" s="704"/>
      <c r="T333" s="704"/>
      <c r="U333" s="704"/>
      <c r="V333" s="704"/>
      <c r="W333" s="704"/>
    </row>
    <row r="334" spans="1:23" s="155" customFormat="1" ht="15.75" customHeight="1">
      <c r="A334" s="164" t="s">
        <v>18</v>
      </c>
      <c r="B334" s="166" t="s">
        <v>84</v>
      </c>
      <c r="C334" s="1987" t="s">
        <v>81</v>
      </c>
      <c r="D334" s="161">
        <v>0</v>
      </c>
      <c r="E334" s="1451"/>
      <c r="F334" s="1452">
        <v>0</v>
      </c>
      <c r="G334" s="1701">
        <v>0</v>
      </c>
      <c r="H334" s="1701"/>
      <c r="I334" s="1728">
        <f t="shared" si="82"/>
        <v>0</v>
      </c>
      <c r="J334" s="675"/>
      <c r="K334" s="566"/>
      <c r="L334" s="566"/>
      <c r="M334" s="566"/>
      <c r="N334" s="566"/>
      <c r="O334" s="566"/>
      <c r="P334" s="566"/>
      <c r="Q334" s="566"/>
      <c r="R334" s="566"/>
      <c r="S334" s="566"/>
      <c r="T334" s="566"/>
      <c r="U334" s="566"/>
      <c r="V334" s="566"/>
      <c r="W334" s="566"/>
    </row>
    <row r="335" spans="1:23" s="155" customFormat="1" ht="15.75" customHeight="1">
      <c r="A335" s="164" t="s">
        <v>22</v>
      </c>
      <c r="B335" s="165" t="s">
        <v>85</v>
      </c>
      <c r="C335" s="1987" t="s">
        <v>81</v>
      </c>
      <c r="D335" s="161">
        <v>0</v>
      </c>
      <c r="E335" s="1451">
        <v>0</v>
      </c>
      <c r="F335" s="1452">
        <v>0</v>
      </c>
      <c r="G335" s="1701">
        <v>0</v>
      </c>
      <c r="H335" s="1701"/>
      <c r="I335" s="1728">
        <f t="shared" si="82"/>
        <v>0</v>
      </c>
      <c r="J335" s="675"/>
      <c r="K335" s="566"/>
      <c r="L335" s="566"/>
      <c r="M335" s="566"/>
      <c r="N335" s="566"/>
      <c r="O335" s="566"/>
      <c r="P335" s="566"/>
      <c r="Q335" s="566"/>
      <c r="R335" s="566"/>
      <c r="S335" s="566"/>
      <c r="T335" s="566"/>
      <c r="U335" s="566"/>
      <c r="V335" s="566"/>
      <c r="W335" s="566"/>
    </row>
    <row r="336" spans="1:23" s="155" customFormat="1" ht="15.75" customHeight="1">
      <c r="A336" s="164" t="s">
        <v>24</v>
      </c>
      <c r="B336" s="166" t="s">
        <v>86</v>
      </c>
      <c r="C336" s="1987" t="s">
        <v>81</v>
      </c>
      <c r="D336" s="161">
        <v>808710000</v>
      </c>
      <c r="E336" s="1405">
        <v>830553000</v>
      </c>
      <c r="F336" s="1406">
        <v>813040530.29999995</v>
      </c>
      <c r="G336" s="548">
        <v>813041000</v>
      </c>
      <c r="H336" s="548"/>
      <c r="I336" s="1728">
        <f t="shared" si="82"/>
        <v>813041000</v>
      </c>
      <c r="J336" s="675"/>
      <c r="K336" s="566"/>
      <c r="L336" s="565"/>
      <c r="M336" s="705"/>
      <c r="N336" s="565"/>
      <c r="O336" s="565"/>
      <c r="P336" s="566"/>
      <c r="Q336" s="566"/>
      <c r="R336" s="566"/>
      <c r="S336" s="566"/>
      <c r="T336" s="566"/>
      <c r="U336" s="566"/>
      <c r="V336" s="566"/>
      <c r="W336" s="566"/>
    </row>
    <row r="337" spans="1:23" s="155" customFormat="1" ht="15.75" customHeight="1">
      <c r="A337" s="661"/>
      <c r="B337" s="167" t="s">
        <v>88</v>
      </c>
      <c r="C337" s="1987" t="s">
        <v>81</v>
      </c>
      <c r="D337" s="161">
        <v>610000000</v>
      </c>
      <c r="E337" s="1451">
        <v>550000000</v>
      </c>
      <c r="F337" s="1452">
        <v>530000000</v>
      </c>
      <c r="G337" s="1701">
        <v>530000000</v>
      </c>
      <c r="H337" s="1701"/>
      <c r="I337" s="1728">
        <f t="shared" si="82"/>
        <v>530000000</v>
      </c>
      <c r="J337" s="675"/>
      <c r="K337" s="566"/>
      <c r="L337" s="548">
        <f>E331-E332</f>
        <v>28955000</v>
      </c>
      <c r="M337" s="565"/>
      <c r="N337" s="565"/>
      <c r="O337" s="565"/>
      <c r="P337" s="566"/>
      <c r="Q337" s="566"/>
      <c r="R337" s="566"/>
      <c r="S337" s="566"/>
      <c r="T337" s="566"/>
      <c r="U337" s="566"/>
      <c r="V337" s="566"/>
      <c r="W337" s="566"/>
    </row>
    <row r="338" spans="1:23" s="155" customFormat="1" ht="15.75" customHeight="1">
      <c r="A338" s="661"/>
      <c r="B338" s="167" t="s">
        <v>90</v>
      </c>
      <c r="C338" s="1987" t="s">
        <v>81</v>
      </c>
      <c r="D338" s="161">
        <v>5637000</v>
      </c>
      <c r="E338" s="1451">
        <v>3345790</v>
      </c>
      <c r="F338" s="1452">
        <v>3301804.06</v>
      </c>
      <c r="G338" s="1701">
        <v>3302000</v>
      </c>
      <c r="H338" s="1701"/>
      <c r="I338" s="1728">
        <f t="shared" si="82"/>
        <v>3302000</v>
      </c>
      <c r="J338" s="675"/>
      <c r="K338" s="566"/>
      <c r="L338" s="565"/>
      <c r="M338" s="566"/>
      <c r="N338" s="566"/>
      <c r="O338" s="566"/>
      <c r="P338" s="566"/>
      <c r="Q338" s="707"/>
      <c r="R338" s="566"/>
      <c r="S338" s="566"/>
      <c r="T338" s="566"/>
      <c r="U338" s="566"/>
      <c r="V338" s="566"/>
      <c r="W338" s="566"/>
    </row>
    <row r="339" spans="1:23" s="155" customFormat="1" ht="15.75" customHeight="1">
      <c r="A339" s="2029" t="s">
        <v>25</v>
      </c>
      <c r="B339" s="2030" t="s">
        <v>91</v>
      </c>
      <c r="C339" s="2031" t="s">
        <v>81</v>
      </c>
      <c r="D339" s="161">
        <v>-68813000</v>
      </c>
      <c r="E339" s="1451">
        <v>-58346000</v>
      </c>
      <c r="F339" s="1452">
        <v>-55132004.060000002</v>
      </c>
      <c r="G339" s="1701">
        <v>-55132000</v>
      </c>
      <c r="H339" s="1701"/>
      <c r="I339" s="1728">
        <f t="shared" si="82"/>
        <v>-55132000</v>
      </c>
      <c r="J339" s="675"/>
      <c r="K339" s="582">
        <f>E333-K343</f>
        <v>-28955000</v>
      </c>
      <c r="L339" s="566"/>
      <c r="M339" s="566"/>
      <c r="N339" s="566"/>
      <c r="O339" s="566"/>
      <c r="P339" s="566"/>
      <c r="Q339" s="566"/>
      <c r="R339" s="629"/>
      <c r="S339" s="629"/>
      <c r="T339" s="566"/>
      <c r="U339" s="566"/>
      <c r="V339" s="566"/>
      <c r="W339" s="566"/>
    </row>
    <row r="340" spans="1:23" s="155" customFormat="1" ht="15.75" customHeight="1">
      <c r="A340" s="2029" t="s">
        <v>27</v>
      </c>
      <c r="B340" s="2030" t="s">
        <v>303</v>
      </c>
      <c r="C340" s="2031" t="s">
        <v>81</v>
      </c>
      <c r="D340" s="161">
        <v>-68813000</v>
      </c>
      <c r="E340" s="1451">
        <v>-58346000</v>
      </c>
      <c r="F340" s="1452">
        <v>-55132004.060000002</v>
      </c>
      <c r="G340" s="1701">
        <v>-55132000</v>
      </c>
      <c r="H340" s="1701"/>
      <c r="I340" s="1728">
        <f t="shared" si="82"/>
        <v>-55132000</v>
      </c>
      <c r="J340" s="675"/>
      <c r="K340" s="566"/>
      <c r="L340" s="566"/>
      <c r="M340" s="566"/>
      <c r="N340" s="566"/>
      <c r="O340" s="566"/>
      <c r="P340" s="566"/>
      <c r="Q340" s="566"/>
      <c r="R340" s="566"/>
      <c r="S340" s="566"/>
      <c r="T340" s="566"/>
      <c r="U340" s="566"/>
      <c r="V340" s="566"/>
      <c r="W340" s="566"/>
    </row>
    <row r="341" spans="1:23" s="155" customFormat="1" ht="14.4">
      <c r="A341" s="164" t="s">
        <v>93</v>
      </c>
      <c r="B341" s="172" t="s">
        <v>608</v>
      </c>
      <c r="C341" s="1987" t="s">
        <v>81</v>
      </c>
      <c r="D341" s="161">
        <v>0</v>
      </c>
      <c r="E341" s="1451">
        <v>0</v>
      </c>
      <c r="F341" s="1452">
        <v>0</v>
      </c>
      <c r="G341" s="1701">
        <v>0</v>
      </c>
      <c r="H341" s="1701"/>
      <c r="I341" s="1728">
        <f t="shared" si="82"/>
        <v>0</v>
      </c>
      <c r="J341" s="675"/>
      <c r="K341" s="566"/>
      <c r="L341" s="629"/>
      <c r="M341" s="566"/>
      <c r="N341" s="566"/>
      <c r="O341" s="566"/>
      <c r="P341" s="566"/>
      <c r="Q341" s="566"/>
      <c r="R341" s="566"/>
      <c r="S341" s="566"/>
      <c r="T341" s="566"/>
      <c r="U341" s="566"/>
      <c r="V341" s="566"/>
      <c r="W341" s="566"/>
    </row>
    <row r="342" spans="1:23" s="155" customFormat="1" ht="15.75" customHeight="1">
      <c r="A342" s="164" t="s">
        <v>94</v>
      </c>
      <c r="B342" s="172" t="s">
        <v>609</v>
      </c>
      <c r="C342" s="1987" t="s">
        <v>81</v>
      </c>
      <c r="D342" s="161">
        <v>-68813000</v>
      </c>
      <c r="E342" s="1451">
        <v>-58346000</v>
      </c>
      <c r="F342" s="1452">
        <v>-55132004.060000002</v>
      </c>
      <c r="G342" s="1701">
        <v>-55132000</v>
      </c>
      <c r="H342" s="1701"/>
      <c r="I342" s="1728">
        <f t="shared" si="82"/>
        <v>-55132000</v>
      </c>
      <c r="J342" s="675"/>
      <c r="K342" s="2231" t="s">
        <v>650</v>
      </c>
      <c r="L342" s="2232"/>
      <c r="M342" s="2232"/>
      <c r="N342" s="2232"/>
      <c r="O342" s="2233"/>
      <c r="P342" s="566" t="s">
        <v>1017</v>
      </c>
      <c r="Q342" s="566"/>
      <c r="R342" s="566"/>
      <c r="S342" s="566"/>
      <c r="T342" s="566"/>
      <c r="U342" s="566"/>
      <c r="V342" s="566"/>
      <c r="W342" s="566"/>
    </row>
    <row r="343" spans="1:23" s="163" customFormat="1" ht="14.4">
      <c r="A343" s="164" t="s">
        <v>29</v>
      </c>
      <c r="B343" s="165" t="s">
        <v>96</v>
      </c>
      <c r="C343" s="1987" t="s">
        <v>81</v>
      </c>
      <c r="D343" s="161">
        <v>46252000</v>
      </c>
      <c r="E343" s="1451">
        <v>25809000</v>
      </c>
      <c r="F343" s="1448">
        <v>35906341.670000002</v>
      </c>
      <c r="G343" s="1699">
        <v>35495000</v>
      </c>
      <c r="H343" s="1701"/>
      <c r="I343" s="1728">
        <f t="shared" si="82"/>
        <v>35495000</v>
      </c>
      <c r="J343" s="675"/>
      <c r="K343" s="773">
        <f>E351-E377+E73</f>
        <v>368971000</v>
      </c>
      <c r="L343" s="773">
        <f>G351-G377+G73</f>
        <v>208785000</v>
      </c>
      <c r="M343" s="773">
        <f>H351-H377+H73</f>
        <v>0</v>
      </c>
      <c r="N343" s="773">
        <f>I351-I377+I73</f>
        <v>208785000</v>
      </c>
      <c r="O343" s="773" t="e">
        <f>#REF!-#REF!+#REF!</f>
        <v>#REF!</v>
      </c>
      <c r="Q343" s="565"/>
      <c r="R343" s="565"/>
      <c r="S343" s="565"/>
      <c r="T343" s="565"/>
      <c r="U343" s="565"/>
      <c r="V343" s="565"/>
      <c r="W343" s="565"/>
    </row>
    <row r="344" spans="1:23" s="163" customFormat="1" ht="15.75" customHeight="1">
      <c r="A344" s="164" t="s">
        <v>31</v>
      </c>
      <c r="B344" s="165" t="s">
        <v>97</v>
      </c>
      <c r="C344" s="1987" t="s">
        <v>81</v>
      </c>
      <c r="D344" s="161">
        <v>30500000</v>
      </c>
      <c r="E344" s="1451">
        <v>45361000</v>
      </c>
      <c r="F344" s="1448">
        <v>44982154.630000003</v>
      </c>
      <c r="G344" s="1699">
        <v>44982000</v>
      </c>
      <c r="H344" s="1701"/>
      <c r="I344" s="1728">
        <f t="shared" si="82"/>
        <v>44982000</v>
      </c>
      <c r="J344" s="162" t="s">
        <v>636</v>
      </c>
      <c r="K344" s="1573">
        <f>K343-100000</f>
        <v>368871000</v>
      </c>
      <c r="L344" s="1573">
        <f>L343-100000</f>
        <v>208685000</v>
      </c>
      <c r="M344" s="1573">
        <f>M343-100000</f>
        <v>-100000</v>
      </c>
      <c r="N344" s="1573">
        <f>N343-100000</f>
        <v>208685000</v>
      </c>
      <c r="O344" s="1573" t="e">
        <f>O343-100000</f>
        <v>#REF!</v>
      </c>
      <c r="P344" s="565"/>
      <c r="Q344" s="565"/>
      <c r="R344" s="565"/>
      <c r="S344" s="565"/>
      <c r="T344" s="565"/>
      <c r="U344" s="565"/>
      <c r="V344" s="565"/>
      <c r="W344" s="565"/>
    </row>
    <row r="345" spans="1:23" s="155" customFormat="1" ht="15.75" customHeight="1">
      <c r="A345" s="164" t="s">
        <v>35</v>
      </c>
      <c r="B345" s="166" t="s">
        <v>98</v>
      </c>
      <c r="C345" s="1987" t="s">
        <v>81</v>
      </c>
      <c r="D345" s="161">
        <v>-1600000</v>
      </c>
      <c r="E345" s="1451">
        <v>-1450000</v>
      </c>
      <c r="F345" s="1452">
        <v>-1530000</v>
      </c>
      <c r="G345" s="1701">
        <v>-1530000</v>
      </c>
      <c r="H345" s="1701"/>
      <c r="I345" s="1728">
        <f t="shared" si="82"/>
        <v>-1530000</v>
      </c>
      <c r="J345" s="675"/>
      <c r="K345" s="1574">
        <f>E606</f>
        <v>339916000</v>
      </c>
      <c r="L345" s="1574">
        <f>G606</f>
        <v>198328000</v>
      </c>
      <c r="M345" s="1574">
        <f>H606</f>
        <v>0</v>
      </c>
      <c r="N345" s="1574">
        <f>I606</f>
        <v>198328000</v>
      </c>
      <c r="O345" s="1574" t="e">
        <f>#REF!</f>
        <v>#REF!</v>
      </c>
      <c r="P345" s="566"/>
      <c r="Q345" s="566"/>
      <c r="R345" s="566"/>
      <c r="S345" s="566"/>
      <c r="T345" s="566"/>
      <c r="U345" s="566"/>
      <c r="V345" s="566"/>
      <c r="W345" s="566"/>
    </row>
    <row r="346" spans="1:23" s="155" customFormat="1" ht="15.75" customHeight="1">
      <c r="A346" s="164" t="s">
        <v>38</v>
      </c>
      <c r="B346" s="166" t="s">
        <v>99</v>
      </c>
      <c r="C346" s="1987" t="s">
        <v>81</v>
      </c>
      <c r="D346" s="161">
        <v>0</v>
      </c>
      <c r="E346" s="1451">
        <v>0</v>
      </c>
      <c r="F346" s="1452">
        <v>0</v>
      </c>
      <c r="G346" s="1701">
        <v>0</v>
      </c>
      <c r="H346" s="1701"/>
      <c r="I346" s="1728">
        <f t="shared" si="82"/>
        <v>0</v>
      </c>
      <c r="J346" s="675"/>
      <c r="K346" s="566"/>
      <c r="L346" s="589"/>
      <c r="M346" s="550"/>
      <c r="N346" s="550"/>
      <c r="O346" s="550"/>
      <c r="P346" s="566"/>
      <c r="Q346" s="566"/>
      <c r="R346" s="566"/>
      <c r="S346" s="566"/>
      <c r="T346" s="566"/>
      <c r="U346" s="566"/>
      <c r="V346" s="566"/>
      <c r="W346" s="566"/>
    </row>
    <row r="347" spans="1:23" s="155" customFormat="1" ht="15.75" customHeight="1">
      <c r="A347" s="164" t="s">
        <v>42</v>
      </c>
      <c r="B347" s="166" t="s">
        <v>100</v>
      </c>
      <c r="C347" s="1987" t="s">
        <v>81</v>
      </c>
      <c r="D347" s="161">
        <v>-850585000</v>
      </c>
      <c r="E347" s="1452">
        <v>-884395000</v>
      </c>
      <c r="F347" s="1452">
        <v>-957455777.23000002</v>
      </c>
      <c r="G347" s="1701">
        <f>-915973000-2000</f>
        <v>-915975000</v>
      </c>
      <c r="H347" s="1701"/>
      <c r="I347" s="1728">
        <f t="shared" si="82"/>
        <v>-915975000</v>
      </c>
      <c r="J347" s="675"/>
      <c r="K347" s="155" t="s">
        <v>635</v>
      </c>
      <c r="L347" s="589"/>
      <c r="M347" s="550"/>
      <c r="N347" s="550"/>
      <c r="O347" s="550"/>
      <c r="P347" s="566"/>
      <c r="Q347" s="566"/>
      <c r="R347" s="566"/>
      <c r="S347" s="566"/>
      <c r="T347" s="566"/>
      <c r="U347" s="566"/>
      <c r="V347" s="566"/>
      <c r="W347" s="566"/>
    </row>
    <row r="348" spans="1:23" s="155" customFormat="1" ht="15.75" customHeight="1">
      <c r="A348" s="164" t="s">
        <v>44</v>
      </c>
      <c r="B348" s="166" t="s">
        <v>101</v>
      </c>
      <c r="C348" s="1987" t="s">
        <v>81</v>
      </c>
      <c r="D348" s="161">
        <v>-3300000</v>
      </c>
      <c r="E348" s="1451">
        <v>-3300000</v>
      </c>
      <c r="F348" s="1452">
        <v>-3800000</v>
      </c>
      <c r="G348" s="1701">
        <v>-3800000</v>
      </c>
      <c r="H348" s="1701"/>
      <c r="I348" s="1728">
        <f t="shared" si="82"/>
        <v>-3800000</v>
      </c>
      <c r="J348" s="675"/>
      <c r="K348" s="566"/>
      <c r="L348" s="589"/>
      <c r="M348" s="550"/>
      <c r="N348" s="550"/>
      <c r="O348" s="550"/>
      <c r="P348" s="566"/>
      <c r="Q348" s="566"/>
      <c r="R348" s="566"/>
      <c r="S348" s="566"/>
      <c r="T348" s="566"/>
      <c r="U348" s="566"/>
      <c r="V348" s="566"/>
      <c r="W348" s="566"/>
    </row>
    <row r="349" spans="1:23" ht="15.75" customHeight="1" thickBot="1">
      <c r="A349" s="710"/>
      <c r="B349" s="711"/>
      <c r="C349" s="2005"/>
      <c r="D349" s="712"/>
      <c r="E349" s="1451"/>
      <c r="F349" s="1452"/>
      <c r="G349" s="1701"/>
      <c r="H349" s="1701"/>
      <c r="I349" s="1701"/>
      <c r="J349" s="675"/>
      <c r="K349" s="550"/>
      <c r="L349" s="550"/>
      <c r="M349" s="550"/>
      <c r="N349" s="550"/>
      <c r="O349" s="550"/>
      <c r="P349" s="550"/>
      <c r="Q349" s="550"/>
      <c r="R349" s="550"/>
      <c r="S349" s="550"/>
      <c r="T349" s="550"/>
      <c r="U349" s="550"/>
      <c r="V349" s="550"/>
      <c r="W349" s="550"/>
    </row>
    <row r="350" spans="1:23" ht="18.600000000000001" thickBot="1">
      <c r="A350" s="240" t="s">
        <v>304</v>
      </c>
      <c r="B350" s="713"/>
      <c r="C350" s="2006"/>
      <c r="D350" s="714"/>
      <c r="E350" s="1491"/>
      <c r="F350" s="1492"/>
      <c r="G350" s="1725"/>
      <c r="H350" s="1725"/>
      <c r="I350" s="1725"/>
      <c r="J350" s="675"/>
      <c r="K350" s="550"/>
      <c r="L350" s="709"/>
      <c r="M350" s="550"/>
      <c r="N350" s="550"/>
      <c r="O350" s="550"/>
      <c r="P350" s="550"/>
      <c r="Q350" s="550"/>
      <c r="R350" s="550"/>
      <c r="S350" s="550"/>
      <c r="T350" s="550"/>
      <c r="U350" s="550"/>
      <c r="V350" s="550"/>
      <c r="W350" s="550"/>
    </row>
    <row r="351" spans="1:23" s="243" customFormat="1">
      <c r="A351" s="241" t="s">
        <v>10</v>
      </c>
      <c r="B351" s="242" t="s">
        <v>305</v>
      </c>
      <c r="C351" s="2007" t="s">
        <v>81</v>
      </c>
      <c r="D351" s="1969">
        <f t="shared" ref="D351:I351" si="83">SUM(D353,D359,D361,D363,D365)</f>
        <v>793591000</v>
      </c>
      <c r="E351" s="1493">
        <f t="shared" si="83"/>
        <v>4512538000</v>
      </c>
      <c r="F351" s="1494">
        <f t="shared" si="83"/>
        <v>4509226767</v>
      </c>
      <c r="G351" s="1726">
        <f t="shared" si="83"/>
        <v>4495757000</v>
      </c>
      <c r="H351" s="1726">
        <f t="shared" si="83"/>
        <v>0</v>
      </c>
      <c r="I351" s="1726">
        <f t="shared" si="83"/>
        <v>4495757000</v>
      </c>
      <c r="J351" s="715"/>
      <c r="K351" s="774">
        <f>E331-E332</f>
        <v>28955000</v>
      </c>
      <c r="L351" s="774" t="e">
        <f>#REF!-F333</f>
        <v>#REF!</v>
      </c>
      <c r="M351" s="774">
        <f>M343-H333</f>
        <v>0</v>
      </c>
      <c r="N351" s="774">
        <f>N343-I333</f>
        <v>10357000</v>
      </c>
      <c r="O351" s="774" t="e">
        <f>O343-#REF!</f>
        <v>#REF!</v>
      </c>
      <c r="P351" s="708"/>
      <c r="Q351" s="708"/>
      <c r="R351" s="708"/>
      <c r="S351" s="708"/>
      <c r="T351" s="708"/>
      <c r="U351" s="708"/>
      <c r="V351" s="708"/>
      <c r="W351" s="708"/>
    </row>
    <row r="352" spans="1:23" s="176" customFormat="1" ht="9.9" customHeight="1">
      <c r="A352" s="625"/>
      <c r="B352" s="626"/>
      <c r="C352" s="2008"/>
      <c r="D352" s="1970"/>
      <c r="E352" s="1415"/>
      <c r="F352" s="1416"/>
      <c r="G352" s="1678"/>
      <c r="H352" s="1678"/>
      <c r="I352" s="1678"/>
      <c r="J352" s="675"/>
      <c r="K352" s="568"/>
      <c r="L352" s="568"/>
      <c r="M352" s="568"/>
      <c r="N352" s="568"/>
      <c r="O352" s="568"/>
      <c r="P352" s="568"/>
      <c r="Q352" s="568"/>
      <c r="R352" s="568"/>
      <c r="S352" s="568"/>
      <c r="T352" s="568"/>
      <c r="U352" s="568"/>
      <c r="V352" s="568"/>
      <c r="W352" s="568"/>
    </row>
    <row r="353" spans="1:23" s="247" customFormat="1">
      <c r="A353" s="244" t="s">
        <v>14</v>
      </c>
      <c r="B353" s="245" t="s">
        <v>104</v>
      </c>
      <c r="C353" s="2009" t="s">
        <v>105</v>
      </c>
      <c r="D353" s="1971">
        <f t="shared" ref="D353:I353" si="84">SUM(D354:D357)</f>
        <v>745360000</v>
      </c>
      <c r="E353" s="1495">
        <f t="shared" si="84"/>
        <v>743360000</v>
      </c>
      <c r="F353" s="1496">
        <f t="shared" si="84"/>
        <v>745360000</v>
      </c>
      <c r="G353" s="1727">
        <f t="shared" si="84"/>
        <v>745360000</v>
      </c>
      <c r="H353" s="1727">
        <f t="shared" si="84"/>
        <v>0</v>
      </c>
      <c r="I353" s="1727">
        <f t="shared" si="84"/>
        <v>745360000</v>
      </c>
      <c r="J353" s="716"/>
      <c r="K353" s="717"/>
      <c r="L353" s="717"/>
      <c r="M353" s="717"/>
      <c r="N353" s="717"/>
      <c r="O353" s="717"/>
      <c r="P353" s="717"/>
      <c r="Q353" s="717"/>
      <c r="R353" s="717"/>
      <c r="S353" s="717"/>
      <c r="T353" s="717"/>
      <c r="U353" s="717"/>
      <c r="V353" s="717"/>
      <c r="W353" s="717"/>
    </row>
    <row r="354" spans="1:23" s="183" customFormat="1">
      <c r="A354" s="628"/>
      <c r="B354" s="181" t="s">
        <v>106</v>
      </c>
      <c r="C354" s="2010" t="s">
        <v>107</v>
      </c>
      <c r="D354" s="1972"/>
      <c r="E354" s="1497"/>
      <c r="F354" s="1498"/>
      <c r="G354" s="1681"/>
      <c r="H354" s="1681"/>
      <c r="I354" s="1681"/>
      <c r="J354" s="675"/>
      <c r="K354" s="570"/>
      <c r="L354" s="815">
        <f>E331-E332</f>
        <v>28955000</v>
      </c>
      <c r="M354" s="570"/>
      <c r="N354" s="570"/>
      <c r="O354" s="570"/>
      <c r="P354" s="570"/>
      <c r="Q354" s="570"/>
      <c r="R354" s="570"/>
      <c r="S354" s="570"/>
      <c r="T354" s="570"/>
      <c r="U354" s="570"/>
      <c r="V354" s="570"/>
      <c r="W354" s="570"/>
    </row>
    <row r="355" spans="1:23" s="186" customFormat="1" ht="43.2">
      <c r="A355" s="184" t="s">
        <v>16</v>
      </c>
      <c r="B355" s="185" t="s">
        <v>610</v>
      </c>
      <c r="C355" s="2010" t="s">
        <v>108</v>
      </c>
      <c r="D355" s="1973">
        <f t="shared" ref="D355:H356" si="85">D94</f>
        <v>30000000</v>
      </c>
      <c r="E355" s="1499">
        <f t="shared" si="85"/>
        <v>28000000</v>
      </c>
      <c r="F355" s="1500">
        <f t="shared" si="85"/>
        <v>28500000</v>
      </c>
      <c r="G355" s="1728">
        <f t="shared" si="85"/>
        <v>28500000</v>
      </c>
      <c r="H355" s="1728">
        <f t="shared" si="85"/>
        <v>0</v>
      </c>
      <c r="I355" s="1728">
        <f>G355+H355</f>
        <v>28500000</v>
      </c>
      <c r="J355" s="675"/>
      <c r="K355" s="571"/>
      <c r="L355" s="571"/>
      <c r="M355" s="571"/>
      <c r="N355" s="571"/>
      <c r="O355" s="571"/>
      <c r="P355" s="571"/>
      <c r="Q355" s="571"/>
      <c r="R355" s="571"/>
      <c r="S355" s="571"/>
      <c r="T355" s="571"/>
      <c r="U355" s="571"/>
      <c r="V355" s="571"/>
      <c r="W355" s="571"/>
    </row>
    <row r="356" spans="1:23" s="186" customFormat="1">
      <c r="A356" s="187" t="s">
        <v>17</v>
      </c>
      <c r="B356" s="181" t="s">
        <v>110</v>
      </c>
      <c r="C356" s="2010" t="s">
        <v>108</v>
      </c>
      <c r="D356" s="1973">
        <f t="shared" si="85"/>
        <v>715360000</v>
      </c>
      <c r="E356" s="1499">
        <f t="shared" si="85"/>
        <v>715360000</v>
      </c>
      <c r="F356" s="1500">
        <f t="shared" si="85"/>
        <v>716860000</v>
      </c>
      <c r="G356" s="1728">
        <f t="shared" si="85"/>
        <v>716860000</v>
      </c>
      <c r="H356" s="1728">
        <f t="shared" si="85"/>
        <v>0</v>
      </c>
      <c r="I356" s="1728">
        <f t="shared" ref="I356:I363" si="86">G356+H356</f>
        <v>716860000</v>
      </c>
      <c r="J356" s="675"/>
      <c r="K356" s="571"/>
      <c r="L356" s="571"/>
      <c r="M356" s="571"/>
      <c r="N356" s="571"/>
      <c r="O356" s="571"/>
      <c r="P356" s="571"/>
      <c r="Q356" s="571"/>
      <c r="R356" s="571"/>
      <c r="S356" s="571"/>
      <c r="T356" s="571"/>
      <c r="U356" s="571"/>
      <c r="V356" s="571"/>
      <c r="W356" s="571"/>
    </row>
    <row r="357" spans="1:23" s="186" customFormat="1" hidden="1">
      <c r="A357" s="187" t="s">
        <v>306</v>
      </c>
      <c r="B357" s="181" t="s">
        <v>307</v>
      </c>
      <c r="C357" s="2010" t="s">
        <v>108</v>
      </c>
      <c r="D357" s="635"/>
      <c r="E357" s="1501"/>
      <c r="F357" s="1502"/>
      <c r="G357" s="1729"/>
      <c r="H357" s="1729"/>
      <c r="I357" s="1728">
        <f t="shared" si="86"/>
        <v>0</v>
      </c>
      <c r="J357" s="675"/>
      <c r="K357" s="571"/>
      <c r="L357" s="571"/>
      <c r="M357" s="571"/>
      <c r="N357" s="571"/>
      <c r="O357" s="571"/>
      <c r="P357" s="571"/>
      <c r="Q357" s="571"/>
      <c r="R357" s="571"/>
      <c r="S357" s="571"/>
      <c r="T357" s="571"/>
      <c r="U357" s="571"/>
      <c r="V357" s="571"/>
      <c r="W357" s="571"/>
    </row>
    <row r="358" spans="1:23" s="186" customFormat="1">
      <c r="A358" s="631"/>
      <c r="B358" s="632"/>
      <c r="C358" s="2011"/>
      <c r="D358" s="1974"/>
      <c r="E358" s="1425"/>
      <c r="F358" s="1426"/>
      <c r="G358" s="1684"/>
      <c r="H358" s="1730"/>
      <c r="I358" s="1728"/>
      <c r="J358" s="675"/>
      <c r="K358" s="571"/>
      <c r="L358" s="571"/>
      <c r="M358" s="571"/>
      <c r="N358" s="571"/>
      <c r="O358" s="571"/>
      <c r="P358" s="571"/>
      <c r="Q358" s="571"/>
      <c r="R358" s="571"/>
      <c r="S358" s="571"/>
      <c r="T358" s="571"/>
      <c r="U358" s="571"/>
      <c r="V358" s="571"/>
      <c r="W358" s="571"/>
    </row>
    <row r="359" spans="1:23" s="186" customFormat="1">
      <c r="A359" s="189" t="s">
        <v>18</v>
      </c>
      <c r="B359" s="190" t="s">
        <v>111</v>
      </c>
      <c r="C359" s="2012" t="s">
        <v>107</v>
      </c>
      <c r="D359" s="1973">
        <f>D97</f>
        <v>46900000</v>
      </c>
      <c r="E359" s="1499">
        <f>E97</f>
        <v>46900000</v>
      </c>
      <c r="F359" s="1500">
        <f>F97</f>
        <v>14167000</v>
      </c>
      <c r="G359" s="1728">
        <f>G97</f>
        <v>0</v>
      </c>
      <c r="H359" s="1728">
        <f>H97</f>
        <v>0</v>
      </c>
      <c r="I359" s="1728">
        <f t="shared" si="86"/>
        <v>0</v>
      </c>
      <c r="J359" s="675"/>
      <c r="K359" s="571"/>
      <c r="L359" s="571"/>
      <c r="M359" s="571"/>
      <c r="N359" s="571"/>
      <c r="O359" s="571"/>
      <c r="P359" s="571"/>
      <c r="Q359" s="571"/>
      <c r="R359" s="571"/>
      <c r="S359" s="571"/>
      <c r="T359" s="571"/>
      <c r="U359" s="571"/>
      <c r="V359" s="571"/>
      <c r="W359" s="571"/>
    </row>
    <row r="360" spans="1:23" s="186" customFormat="1" ht="9.9" customHeight="1">
      <c r="A360" s="650"/>
      <c r="B360" s="651"/>
      <c r="C360" s="2013"/>
      <c r="D360" s="1975"/>
      <c r="E360" s="1429"/>
      <c r="F360" s="1430"/>
      <c r="G360" s="1686"/>
      <c r="H360" s="1731"/>
      <c r="I360" s="1728"/>
      <c r="J360" s="675"/>
      <c r="K360" s="571"/>
      <c r="L360" s="571"/>
      <c r="M360" s="571"/>
      <c r="N360" s="571"/>
      <c r="O360" s="571"/>
      <c r="P360" s="571"/>
      <c r="Q360" s="571"/>
      <c r="R360" s="571"/>
      <c r="S360" s="571"/>
      <c r="T360" s="571"/>
      <c r="U360" s="571"/>
      <c r="V360" s="571"/>
      <c r="W360" s="571"/>
    </row>
    <row r="361" spans="1:23" s="183" customFormat="1">
      <c r="A361" s="180" t="s">
        <v>22</v>
      </c>
      <c r="B361" s="190" t="s">
        <v>112</v>
      </c>
      <c r="C361" s="2014" t="s">
        <v>113</v>
      </c>
      <c r="D361" s="1976"/>
      <c r="E361" s="1503">
        <v>3548374000</v>
      </c>
      <c r="F361" s="1504">
        <v>3575412767</v>
      </c>
      <c r="G361" s="1732">
        <v>3575413000</v>
      </c>
      <c r="H361" s="1732"/>
      <c r="I361" s="1728">
        <f t="shared" si="86"/>
        <v>3575413000</v>
      </c>
      <c r="J361" s="675"/>
      <c r="K361" s="570"/>
      <c r="L361" s="570"/>
      <c r="M361" s="570"/>
      <c r="N361" s="570"/>
      <c r="O361" s="570"/>
      <c r="P361" s="570"/>
      <c r="Q361" s="570"/>
      <c r="R361" s="570"/>
      <c r="S361" s="570"/>
      <c r="T361" s="570"/>
      <c r="U361" s="570"/>
      <c r="V361" s="570"/>
      <c r="W361" s="570"/>
    </row>
    <row r="362" spans="1:23" s="186" customFormat="1" ht="9" customHeight="1">
      <c r="A362" s="631"/>
      <c r="B362" s="653"/>
      <c r="C362" s="2015"/>
      <c r="D362" s="1977"/>
      <c r="E362" s="1431"/>
      <c r="F362" s="1432"/>
      <c r="G362" s="1688"/>
      <c r="H362" s="1732"/>
      <c r="I362" s="1728"/>
      <c r="J362" s="675"/>
      <c r="K362" s="571"/>
      <c r="L362" s="571"/>
      <c r="M362" s="571"/>
      <c r="N362" s="571"/>
      <c r="O362" s="571"/>
      <c r="P362" s="571"/>
      <c r="Q362" s="571"/>
      <c r="R362" s="571"/>
      <c r="S362" s="571"/>
      <c r="T362" s="571"/>
      <c r="U362" s="571"/>
      <c r="V362" s="571"/>
      <c r="W362" s="571"/>
    </row>
    <row r="363" spans="1:23" s="183" customFormat="1" ht="31.2">
      <c r="A363" s="180" t="s">
        <v>24</v>
      </c>
      <c r="B363" s="193" t="s">
        <v>114</v>
      </c>
      <c r="C363" s="2014" t="s">
        <v>115</v>
      </c>
      <c r="D363" s="1978">
        <f>D101</f>
        <v>1331000</v>
      </c>
      <c r="E363" s="1505">
        <f>E101</f>
        <v>2104000</v>
      </c>
      <c r="F363" s="1506">
        <f>F101</f>
        <v>2155000</v>
      </c>
      <c r="G363" s="1733">
        <f>G101</f>
        <v>2155000</v>
      </c>
      <c r="H363" s="1733">
        <f>H101</f>
        <v>0</v>
      </c>
      <c r="I363" s="1728">
        <f t="shared" si="86"/>
        <v>2155000</v>
      </c>
      <c r="J363" s="675"/>
      <c r="K363" s="570"/>
      <c r="L363" s="570"/>
      <c r="M363" s="570"/>
      <c r="N363" s="570"/>
      <c r="O363" s="570"/>
      <c r="P363" s="570"/>
      <c r="Q363" s="570"/>
      <c r="R363" s="570"/>
      <c r="S363" s="570"/>
      <c r="T363" s="570"/>
      <c r="U363" s="570"/>
      <c r="V363" s="570"/>
      <c r="W363" s="570"/>
    </row>
    <row r="364" spans="1:23" ht="9.9" customHeight="1">
      <c r="A364" s="631"/>
      <c r="B364" s="653"/>
      <c r="C364" s="2015"/>
      <c r="D364" s="1977"/>
      <c r="E364" s="1431"/>
      <c r="F364" s="1432"/>
      <c r="G364" s="1688"/>
      <c r="H364" s="1688"/>
      <c r="I364" s="1688"/>
      <c r="J364" s="675"/>
      <c r="K364" s="550"/>
      <c r="L364" s="550"/>
      <c r="M364" s="550"/>
      <c r="N364" s="550"/>
      <c r="O364" s="550"/>
      <c r="P364" s="550"/>
      <c r="Q364" s="550"/>
      <c r="R364" s="550"/>
      <c r="S364" s="550"/>
      <c r="T364" s="550"/>
      <c r="U364" s="550"/>
      <c r="V364" s="550"/>
      <c r="W364" s="550"/>
    </row>
    <row r="365" spans="1:23" s="247" customFormat="1">
      <c r="A365" s="244" t="s">
        <v>25</v>
      </c>
      <c r="B365" s="245" t="s">
        <v>117</v>
      </c>
      <c r="C365" s="2009" t="s">
        <v>81</v>
      </c>
      <c r="D365" s="1971">
        <f t="shared" ref="D365:I365" si="87">SUM(D366:D375)</f>
        <v>0</v>
      </c>
      <c r="E365" s="1495">
        <f t="shared" si="87"/>
        <v>171800000</v>
      </c>
      <c r="F365" s="1496">
        <f t="shared" si="87"/>
        <v>172132000</v>
      </c>
      <c r="G365" s="1727">
        <f>SUM(G366:G375)</f>
        <v>172829000</v>
      </c>
      <c r="H365" s="1727">
        <f t="shared" si="87"/>
        <v>0</v>
      </c>
      <c r="I365" s="1727">
        <f t="shared" si="87"/>
        <v>172829000</v>
      </c>
      <c r="J365" s="716"/>
      <c r="K365" s="717"/>
      <c r="L365" s="717"/>
      <c r="M365" s="717"/>
      <c r="N365" s="717"/>
      <c r="O365" s="717"/>
      <c r="P365" s="717"/>
      <c r="Q365" s="717"/>
      <c r="R365" s="717"/>
      <c r="S365" s="717"/>
      <c r="T365" s="717"/>
      <c r="U365" s="717"/>
      <c r="V365" s="717"/>
      <c r="W365" s="717"/>
    </row>
    <row r="366" spans="1:23" s="195" customFormat="1" ht="14.4">
      <c r="A366" s="164" t="s">
        <v>27</v>
      </c>
      <c r="B366" s="194" t="s">
        <v>118</v>
      </c>
      <c r="C366" s="1987" t="s">
        <v>119</v>
      </c>
      <c r="D366" s="1979"/>
      <c r="E366" s="1447"/>
      <c r="F366" s="1448"/>
      <c r="G366" s="1699"/>
      <c r="H366" s="1699"/>
      <c r="I366" s="1699"/>
      <c r="J366" s="675"/>
      <c r="K366" s="572"/>
      <c r="L366" s="572"/>
      <c r="M366" s="572"/>
      <c r="N366" s="572"/>
      <c r="O366" s="572"/>
      <c r="P366" s="572"/>
      <c r="Q366" s="572"/>
      <c r="R366" s="572"/>
      <c r="S366" s="572"/>
      <c r="T366" s="572"/>
      <c r="U366" s="572"/>
      <c r="V366" s="572"/>
      <c r="W366" s="572"/>
    </row>
    <row r="367" spans="1:23" s="195" customFormat="1" ht="14.4">
      <c r="A367" s="2027"/>
      <c r="B367" s="194" t="str">
        <f>B105</f>
        <v>- wpływy z tytułu grzywien i innych kar pieniężnych od osób fizycznych</v>
      </c>
      <c r="C367" s="1987" t="s">
        <v>1111</v>
      </c>
      <c r="D367" s="1979"/>
      <c r="E367" s="2032"/>
      <c r="F367" s="1448"/>
      <c r="G367" s="2033"/>
      <c r="H367" s="2033"/>
      <c r="I367" s="2033"/>
      <c r="J367" s="675"/>
      <c r="K367" s="572"/>
      <c r="L367" s="572"/>
      <c r="M367" s="572"/>
      <c r="N367" s="572"/>
      <c r="O367" s="572"/>
      <c r="P367" s="572"/>
      <c r="Q367" s="572"/>
      <c r="R367" s="572"/>
      <c r="S367" s="572"/>
      <c r="T367" s="572"/>
      <c r="U367" s="572"/>
      <c r="V367" s="572"/>
      <c r="W367" s="572"/>
    </row>
    <row r="368" spans="1:23" s="195" customFormat="1" ht="14.4">
      <c r="A368" s="2027"/>
      <c r="B368" s="194" t="str">
        <f>B106</f>
        <v>- wpływy z tytułu grzywien i innych kar pieniężnych od osób prawnych i innych jednostek organizacyjnych</v>
      </c>
      <c r="C368" s="1987" t="s">
        <v>1112</v>
      </c>
      <c r="D368" s="1979"/>
      <c r="E368" s="2032"/>
      <c r="F368" s="1448"/>
      <c r="G368" s="2033"/>
      <c r="H368" s="2033"/>
      <c r="I368" s="2033"/>
      <c r="J368" s="675"/>
      <c r="K368" s="572"/>
      <c r="L368" s="572"/>
      <c r="M368" s="572"/>
      <c r="N368" s="572"/>
      <c r="O368" s="572"/>
      <c r="P368" s="572"/>
      <c r="Q368" s="572"/>
      <c r="R368" s="572"/>
      <c r="S368" s="572"/>
      <c r="T368" s="572"/>
      <c r="U368" s="572"/>
      <c r="V368" s="572"/>
      <c r="W368" s="572"/>
    </row>
    <row r="369" spans="1:23" s="195" customFormat="1">
      <c r="A369" s="164" t="s">
        <v>28</v>
      </c>
      <c r="B369" s="194" t="s">
        <v>120</v>
      </c>
      <c r="C369" s="1987" t="s">
        <v>121</v>
      </c>
      <c r="D369" s="1979"/>
      <c r="E369" s="1447">
        <v>125000</v>
      </c>
      <c r="F369" s="1448">
        <v>65000</v>
      </c>
      <c r="G369" s="1699">
        <v>65000</v>
      </c>
      <c r="H369" s="1699"/>
      <c r="I369" s="1699">
        <f>G369+H369</f>
        <v>65000</v>
      </c>
      <c r="J369" s="699"/>
      <c r="K369" s="635"/>
      <c r="L369" s="635"/>
      <c r="M369" s="635"/>
      <c r="N369" s="635"/>
      <c r="O369" s="635"/>
      <c r="P369" s="572"/>
      <c r="Q369" s="572"/>
      <c r="R369" s="572"/>
      <c r="S369" s="572"/>
      <c r="T369" s="572"/>
      <c r="U369" s="572"/>
      <c r="V369" s="572"/>
      <c r="W369" s="572"/>
    </row>
    <row r="370" spans="1:23" s="195" customFormat="1" ht="14.4">
      <c r="A370" s="164" t="s">
        <v>122</v>
      </c>
      <c r="B370" s="194" t="s">
        <v>123</v>
      </c>
      <c r="C370" s="1987" t="s">
        <v>124</v>
      </c>
      <c r="D370" s="1979"/>
      <c r="E370" s="1447"/>
      <c r="F370" s="1448"/>
      <c r="G370" s="1699"/>
      <c r="H370" s="1699"/>
      <c r="I370" s="1699">
        <f t="shared" ref="I370:I375" si="88">G370+H370</f>
        <v>0</v>
      </c>
      <c r="J370" s="675"/>
      <c r="K370" s="572"/>
      <c r="L370" s="572"/>
      <c r="M370" s="572"/>
      <c r="N370" s="572"/>
      <c r="O370" s="572"/>
      <c r="P370" s="572"/>
      <c r="Q370" s="572"/>
      <c r="R370" s="572"/>
      <c r="S370" s="572"/>
      <c r="T370" s="572"/>
      <c r="U370" s="572"/>
      <c r="V370" s="572"/>
      <c r="W370" s="572"/>
    </row>
    <row r="371" spans="1:23" s="195" customFormat="1" ht="14.4">
      <c r="A371" s="164" t="s">
        <v>125</v>
      </c>
      <c r="B371" s="194" t="s">
        <v>126</v>
      </c>
      <c r="C371" s="1987" t="s">
        <v>127</v>
      </c>
      <c r="D371" s="1979"/>
      <c r="E371" s="1447">
        <v>37483000</v>
      </c>
      <c r="F371" s="1448">
        <v>45825200</v>
      </c>
      <c r="G371" s="1699">
        <v>46522000</v>
      </c>
      <c r="H371" s="1699"/>
      <c r="I371" s="1699">
        <f t="shared" si="88"/>
        <v>46522000</v>
      </c>
      <c r="J371" s="675"/>
      <c r="K371" s="636"/>
      <c r="L371" s="636"/>
      <c r="M371" s="636"/>
      <c r="N371" s="636"/>
      <c r="O371" s="636"/>
      <c r="P371" s="572"/>
      <c r="Q371" s="572"/>
      <c r="R371" s="572"/>
      <c r="S371" s="572"/>
      <c r="T371" s="572"/>
      <c r="U371" s="572"/>
      <c r="V371" s="572"/>
      <c r="W371" s="572"/>
    </row>
    <row r="372" spans="1:23" s="195" customFormat="1" ht="14.4">
      <c r="A372" s="164" t="s">
        <v>128</v>
      </c>
      <c r="B372" s="194" t="s">
        <v>129</v>
      </c>
      <c r="C372" s="1987" t="s">
        <v>130</v>
      </c>
      <c r="D372" s="1979"/>
      <c r="E372" s="1447">
        <v>134192000</v>
      </c>
      <c r="F372" s="1448">
        <v>126241800</v>
      </c>
      <c r="G372" s="1699">
        <v>126242000</v>
      </c>
      <c r="H372" s="1699"/>
      <c r="I372" s="1699">
        <f t="shared" si="88"/>
        <v>126242000</v>
      </c>
      <c r="J372" s="675"/>
      <c r="K372" s="572"/>
      <c r="L372" s="572"/>
      <c r="M372" s="572"/>
      <c r="N372" s="572"/>
      <c r="O372" s="572"/>
      <c r="P372" s="572"/>
      <c r="Q372" s="572"/>
      <c r="R372" s="572"/>
      <c r="S372" s="572"/>
      <c r="T372" s="572"/>
      <c r="U372" s="572"/>
      <c r="V372" s="572"/>
      <c r="W372" s="572"/>
    </row>
    <row r="373" spans="1:23" s="195" customFormat="1" ht="14.4">
      <c r="A373" s="164" t="s">
        <v>131</v>
      </c>
      <c r="B373" s="194" t="s">
        <v>132</v>
      </c>
      <c r="C373" s="1987" t="s">
        <v>133</v>
      </c>
      <c r="D373" s="1979"/>
      <c r="E373" s="1447"/>
      <c r="F373" s="1448"/>
      <c r="G373" s="1699"/>
      <c r="H373" s="1699"/>
      <c r="I373" s="1699">
        <f t="shared" si="88"/>
        <v>0</v>
      </c>
      <c r="J373" s="675"/>
      <c r="K373" s="572"/>
      <c r="L373" s="572"/>
      <c r="M373" s="572"/>
      <c r="N373" s="572"/>
      <c r="O373" s="572"/>
      <c r="P373" s="572"/>
      <c r="Q373" s="572"/>
      <c r="R373" s="572"/>
      <c r="S373" s="572"/>
      <c r="T373" s="572"/>
      <c r="U373" s="572"/>
      <c r="V373" s="572"/>
      <c r="W373" s="572"/>
    </row>
    <row r="374" spans="1:23" s="195" customFormat="1" ht="14.4">
      <c r="A374" s="164" t="s">
        <v>134</v>
      </c>
      <c r="B374" s="194" t="s">
        <v>135</v>
      </c>
      <c r="C374" s="1987" t="s">
        <v>136</v>
      </c>
      <c r="D374" s="1979"/>
      <c r="E374" s="1447"/>
      <c r="F374" s="1448"/>
      <c r="G374" s="1699"/>
      <c r="H374" s="1699"/>
      <c r="I374" s="1699">
        <f t="shared" si="88"/>
        <v>0</v>
      </c>
      <c r="J374" s="675"/>
      <c r="K374" s="572"/>
      <c r="L374" s="637"/>
      <c r="M374" s="637"/>
      <c r="N374" s="637"/>
      <c r="O374" s="637"/>
      <c r="P374" s="572"/>
      <c r="Q374" s="572"/>
      <c r="R374" s="572"/>
      <c r="S374" s="572"/>
      <c r="T374" s="572"/>
      <c r="U374" s="572"/>
      <c r="V374" s="572"/>
      <c r="W374" s="572"/>
    </row>
    <row r="375" spans="1:23" s="195" customFormat="1" ht="14.4">
      <c r="A375" s="164" t="s">
        <v>137</v>
      </c>
      <c r="B375" s="194" t="s">
        <v>138</v>
      </c>
      <c r="C375" s="1987" t="s">
        <v>139</v>
      </c>
      <c r="D375" s="1979"/>
      <c r="E375" s="1447"/>
      <c r="F375" s="1448"/>
      <c r="G375" s="1699"/>
      <c r="H375" s="1699"/>
      <c r="I375" s="1699">
        <f t="shared" si="88"/>
        <v>0</v>
      </c>
      <c r="J375" s="675"/>
      <c r="K375" s="572"/>
      <c r="L375" s="572"/>
      <c r="M375" s="572"/>
      <c r="N375" s="572"/>
      <c r="O375" s="572"/>
      <c r="P375" s="572"/>
      <c r="Q375" s="572"/>
      <c r="R375" s="572"/>
      <c r="S375" s="572"/>
      <c r="T375" s="572"/>
      <c r="U375" s="572"/>
      <c r="V375" s="572"/>
      <c r="W375" s="572"/>
    </row>
    <row r="376" spans="1:23" s="196" customFormat="1" ht="9.9" customHeight="1">
      <c r="A376" s="656"/>
      <c r="B376" s="657"/>
      <c r="C376" s="2016"/>
      <c r="D376" s="1980"/>
      <c r="E376" s="1411"/>
      <c r="F376" s="1412"/>
      <c r="G376" s="1676"/>
      <c r="H376" s="1676"/>
      <c r="I376" s="1676"/>
      <c r="J376" s="675"/>
      <c r="K376" s="573"/>
      <c r="L376" s="638"/>
      <c r="M376" s="638"/>
      <c r="N376" s="638"/>
      <c r="O376" s="638"/>
      <c r="P376" s="573"/>
      <c r="Q376" s="573"/>
      <c r="R376" s="573"/>
      <c r="S376" s="573"/>
      <c r="T376" s="573"/>
      <c r="U376" s="573"/>
      <c r="V376" s="573"/>
      <c r="W376" s="573"/>
    </row>
    <row r="377" spans="1:23" s="250" customFormat="1" ht="15" customHeight="1">
      <c r="A377" s="248" t="s">
        <v>102</v>
      </c>
      <c r="B377" s="249" t="s">
        <v>308</v>
      </c>
      <c r="C377" s="2017" t="s">
        <v>81</v>
      </c>
      <c r="D377" s="1981">
        <f t="shared" ref="D377:I377" si="89">SUM(D379,D439,D458,D480,D529,D572,D582)</f>
        <v>4592957000</v>
      </c>
      <c r="E377" s="1507">
        <f t="shared" si="89"/>
        <v>4508698000</v>
      </c>
      <c r="F377" s="1508">
        <f t="shared" si="89"/>
        <v>4838252226</v>
      </c>
      <c r="G377" s="1734">
        <f t="shared" si="89"/>
        <v>4626988000</v>
      </c>
      <c r="H377" s="1734">
        <f t="shared" si="89"/>
        <v>0</v>
      </c>
      <c r="I377" s="1734">
        <f t="shared" si="89"/>
        <v>4626988000</v>
      </c>
      <c r="J377" s="718"/>
      <c r="K377" s="719"/>
      <c r="L377" s="719"/>
      <c r="M377" s="719"/>
      <c r="N377" s="719"/>
      <c r="O377" s="719"/>
      <c r="P377" s="719"/>
      <c r="Q377" s="719"/>
      <c r="R377" s="719"/>
      <c r="S377" s="719"/>
      <c r="T377" s="719"/>
      <c r="U377" s="719"/>
      <c r="V377" s="719"/>
      <c r="W377" s="719"/>
    </row>
    <row r="378" spans="1:23" s="152" customFormat="1" ht="12.75" customHeight="1">
      <c r="A378" s="658"/>
      <c r="B378" s="659"/>
      <c r="C378" s="2018"/>
      <c r="D378" s="1982"/>
      <c r="E378" s="1437"/>
      <c r="F378" s="1438"/>
      <c r="G378" s="1692"/>
      <c r="H378" s="1692"/>
      <c r="I378" s="1692"/>
      <c r="J378" s="675"/>
      <c r="K378" s="562"/>
      <c r="L378" s="562"/>
      <c r="M378" s="562"/>
      <c r="N378" s="562"/>
      <c r="O378" s="562"/>
      <c r="P378" s="562"/>
      <c r="Q378" s="562"/>
      <c r="R378" s="562"/>
      <c r="S378" s="562"/>
      <c r="T378" s="562"/>
      <c r="U378" s="562"/>
      <c r="V378" s="562"/>
      <c r="W378" s="562"/>
    </row>
    <row r="379" spans="1:23" s="252" customFormat="1">
      <c r="A379" s="244" t="s">
        <v>14</v>
      </c>
      <c r="B379" s="245" t="s">
        <v>142</v>
      </c>
      <c r="C379" s="2019" t="s">
        <v>81</v>
      </c>
      <c r="D379" s="1983">
        <f t="shared" ref="D379:I379" si="90">SUM(D380,D409)</f>
        <v>3415986000</v>
      </c>
      <c r="E379" s="1509">
        <f t="shared" si="90"/>
        <v>3407669000</v>
      </c>
      <c r="F379" s="1510">
        <f t="shared" si="90"/>
        <v>3577080000</v>
      </c>
      <c r="G379" s="1735">
        <f t="shared" si="90"/>
        <v>3416895000</v>
      </c>
      <c r="H379" s="1735">
        <f t="shared" si="90"/>
        <v>0</v>
      </c>
      <c r="I379" s="1735">
        <f t="shared" si="90"/>
        <v>3416895000</v>
      </c>
      <c r="J379" s="720"/>
      <c r="K379" s="721"/>
      <c r="L379" s="721"/>
      <c r="M379" s="721"/>
      <c r="N379" s="721"/>
      <c r="O379" s="721"/>
      <c r="P379" s="721"/>
      <c r="Q379" s="721"/>
      <c r="R379" s="721"/>
      <c r="S379" s="721"/>
      <c r="T379" s="721"/>
      <c r="U379" s="721"/>
      <c r="V379" s="721"/>
      <c r="W379" s="721"/>
    </row>
    <row r="380" spans="1:23" s="256" customFormat="1" ht="14.4">
      <c r="A380" s="253" t="s">
        <v>16</v>
      </c>
      <c r="B380" s="254" t="s">
        <v>143</v>
      </c>
      <c r="C380" s="2020" t="s">
        <v>81</v>
      </c>
      <c r="D380" s="1984">
        <f t="shared" ref="D380:I380" si="91">SUM(D381:D382)</f>
        <v>151853000</v>
      </c>
      <c r="E380" s="1511">
        <f t="shared" si="91"/>
        <v>144536000</v>
      </c>
      <c r="F380" s="1512">
        <f t="shared" si="91"/>
        <v>159140000</v>
      </c>
      <c r="G380" s="1736">
        <f t="shared" si="91"/>
        <v>110992000</v>
      </c>
      <c r="H380" s="1736">
        <f t="shared" si="91"/>
        <v>0</v>
      </c>
      <c r="I380" s="1736">
        <f t="shared" si="91"/>
        <v>110992000</v>
      </c>
      <c r="J380" s="720"/>
      <c r="K380" s="722"/>
      <c r="L380" s="722"/>
      <c r="M380" s="722"/>
      <c r="N380" s="722"/>
      <c r="O380" s="722"/>
      <c r="P380" s="722"/>
      <c r="Q380" s="722"/>
      <c r="R380" s="722"/>
      <c r="S380" s="722"/>
      <c r="T380" s="722"/>
      <c r="U380" s="722"/>
      <c r="V380" s="722"/>
      <c r="W380" s="722"/>
    </row>
    <row r="381" spans="1:23" s="256" customFormat="1" ht="16.5" customHeight="1">
      <c r="A381" s="253" t="s">
        <v>144</v>
      </c>
      <c r="B381" s="257" t="s">
        <v>145</v>
      </c>
      <c r="C381" s="2020" t="s">
        <v>146</v>
      </c>
      <c r="D381" s="1984">
        <f t="shared" ref="D381:I381" si="92">SUM(D384:D388)</f>
        <v>144653000</v>
      </c>
      <c r="E381" s="1511">
        <f t="shared" si="92"/>
        <v>139545000</v>
      </c>
      <c r="F381" s="1512">
        <f t="shared" si="92"/>
        <v>159140000</v>
      </c>
      <c r="G381" s="1736">
        <f t="shared" si="92"/>
        <v>110992000</v>
      </c>
      <c r="H381" s="1736">
        <f t="shared" si="92"/>
        <v>0</v>
      </c>
      <c r="I381" s="1736">
        <f t="shared" si="92"/>
        <v>110992000</v>
      </c>
      <c r="J381" s="720"/>
      <c r="K381" s="722"/>
      <c r="L381" s="722"/>
      <c r="M381" s="722"/>
      <c r="N381" s="722"/>
      <c r="O381" s="722"/>
      <c r="P381" s="722"/>
      <c r="Q381" s="722"/>
      <c r="R381" s="722"/>
      <c r="S381" s="722"/>
      <c r="T381" s="722"/>
      <c r="U381" s="722"/>
      <c r="V381" s="722"/>
      <c r="W381" s="722"/>
    </row>
    <row r="382" spans="1:23" s="256" customFormat="1" ht="16.5" customHeight="1">
      <c r="A382" s="253" t="s">
        <v>147</v>
      </c>
      <c r="B382" s="257" t="s">
        <v>148</v>
      </c>
      <c r="C382" s="2020" t="s">
        <v>149</v>
      </c>
      <c r="D382" s="1984">
        <f t="shared" ref="D382:I382" si="93">SUM(D383)</f>
        <v>7200000</v>
      </c>
      <c r="E382" s="1511">
        <f t="shared" si="93"/>
        <v>4991000</v>
      </c>
      <c r="F382" s="1512">
        <f t="shared" si="93"/>
        <v>0</v>
      </c>
      <c r="G382" s="1736">
        <f t="shared" si="93"/>
        <v>0</v>
      </c>
      <c r="H382" s="1736">
        <f t="shared" si="93"/>
        <v>0</v>
      </c>
      <c r="I382" s="1736">
        <f t="shared" si="93"/>
        <v>0</v>
      </c>
      <c r="J382" s="720"/>
      <c r="K382" s="722"/>
      <c r="L382" s="722"/>
      <c r="M382" s="722"/>
      <c r="N382" s="722"/>
      <c r="O382" s="722"/>
      <c r="P382" s="722"/>
      <c r="Q382" s="722"/>
      <c r="R382" s="722"/>
      <c r="S382" s="722"/>
      <c r="T382" s="722"/>
      <c r="U382" s="722"/>
      <c r="V382" s="722"/>
      <c r="W382" s="722"/>
    </row>
    <row r="383" spans="1:23" s="155" customFormat="1" ht="14.4">
      <c r="A383" s="661"/>
      <c r="B383" s="194" t="s">
        <v>611</v>
      </c>
      <c r="C383" s="1987" t="s">
        <v>149</v>
      </c>
      <c r="D383" s="1973">
        <f t="shared" ref="D383:I387" si="94">D124</f>
        <v>7200000</v>
      </c>
      <c r="E383" s="1499">
        <f t="shared" si="94"/>
        <v>4991000</v>
      </c>
      <c r="F383" s="1500">
        <f t="shared" si="94"/>
        <v>0</v>
      </c>
      <c r="G383" s="1728">
        <f t="shared" si="94"/>
        <v>0</v>
      </c>
      <c r="H383" s="1728">
        <f t="shared" si="94"/>
        <v>0</v>
      </c>
      <c r="I383" s="1728">
        <f t="shared" si="94"/>
        <v>0</v>
      </c>
      <c r="J383" s="675"/>
      <c r="K383" s="566"/>
      <c r="L383" s="566"/>
      <c r="M383" s="566"/>
      <c r="N383" s="566"/>
      <c r="O383" s="566"/>
      <c r="P383" s="566"/>
      <c r="Q383" s="566"/>
      <c r="R383" s="566"/>
      <c r="S383" s="566"/>
      <c r="T383" s="566"/>
      <c r="U383" s="566"/>
      <c r="V383" s="566"/>
      <c r="W383" s="566"/>
    </row>
    <row r="384" spans="1:23" s="155" customFormat="1" ht="14.4">
      <c r="A384" s="661"/>
      <c r="B384" s="194" t="s">
        <v>612</v>
      </c>
      <c r="C384" s="1987" t="s">
        <v>146</v>
      </c>
      <c r="D384" s="1973">
        <f t="shared" si="94"/>
        <v>184000</v>
      </c>
      <c r="E384" s="1499">
        <f t="shared" si="94"/>
        <v>184000</v>
      </c>
      <c r="F384" s="1500">
        <f t="shared" si="94"/>
        <v>4500000</v>
      </c>
      <c r="G384" s="1728">
        <f t="shared" si="94"/>
        <v>2500000</v>
      </c>
      <c r="H384" s="1728">
        <f t="shared" si="94"/>
        <v>0</v>
      </c>
      <c r="I384" s="1728">
        <f t="shared" si="94"/>
        <v>2500000</v>
      </c>
      <c r="J384" s="675"/>
      <c r="K384" s="566"/>
      <c r="L384" s="566"/>
      <c r="M384" s="566"/>
      <c r="N384" s="566"/>
      <c r="O384" s="566"/>
      <c r="P384" s="566"/>
      <c r="Q384" s="566"/>
      <c r="R384" s="566"/>
      <c r="S384" s="566"/>
      <c r="T384" s="566"/>
      <c r="U384" s="566"/>
      <c r="V384" s="566"/>
      <c r="W384" s="566"/>
    </row>
    <row r="385" spans="1:23" s="155" customFormat="1" ht="43.2">
      <c r="A385" s="661"/>
      <c r="B385" s="202" t="s">
        <v>613</v>
      </c>
      <c r="C385" s="1987" t="s">
        <v>146</v>
      </c>
      <c r="D385" s="1973">
        <f t="shared" si="94"/>
        <v>60000000</v>
      </c>
      <c r="E385" s="1499">
        <f t="shared" si="94"/>
        <v>56000000</v>
      </c>
      <c r="F385" s="1500">
        <f t="shared" si="94"/>
        <v>57000000</v>
      </c>
      <c r="G385" s="1728">
        <f t="shared" si="94"/>
        <v>57000000</v>
      </c>
      <c r="H385" s="1728">
        <f t="shared" si="94"/>
        <v>0</v>
      </c>
      <c r="I385" s="1728">
        <f t="shared" si="94"/>
        <v>57000000</v>
      </c>
      <c r="J385" s="675"/>
      <c r="K385" s="566"/>
      <c r="L385" s="566"/>
      <c r="M385" s="566"/>
      <c r="N385" s="566"/>
      <c r="O385" s="566"/>
      <c r="P385" s="566"/>
      <c r="Q385" s="566"/>
      <c r="R385" s="566"/>
      <c r="S385" s="566"/>
      <c r="T385" s="566"/>
      <c r="U385" s="566"/>
      <c r="V385" s="566"/>
      <c r="W385" s="566"/>
    </row>
    <row r="386" spans="1:23">
      <c r="A386" s="631"/>
      <c r="B386" s="194" t="s">
        <v>614</v>
      </c>
      <c r="C386" s="1987" t="s">
        <v>146</v>
      </c>
      <c r="D386" s="1973">
        <f t="shared" si="94"/>
        <v>1000000</v>
      </c>
      <c r="E386" s="1499">
        <f t="shared" si="94"/>
        <v>782000</v>
      </c>
      <c r="F386" s="1500">
        <f t="shared" si="94"/>
        <v>1720000</v>
      </c>
      <c r="G386" s="1728">
        <f t="shared" si="94"/>
        <v>1220000</v>
      </c>
      <c r="H386" s="1728">
        <f t="shared" si="94"/>
        <v>0</v>
      </c>
      <c r="I386" s="1728">
        <f t="shared" si="94"/>
        <v>1220000</v>
      </c>
      <c r="J386" s="675"/>
      <c r="K386" s="550"/>
      <c r="L386" s="550"/>
      <c r="M386" s="550"/>
      <c r="N386" s="550"/>
      <c r="O386" s="550"/>
      <c r="P386" s="550"/>
      <c r="Q386" s="550"/>
      <c r="R386" s="550"/>
      <c r="S386" s="550"/>
      <c r="T386" s="550"/>
      <c r="U386" s="550"/>
      <c r="V386" s="550"/>
      <c r="W386" s="550"/>
    </row>
    <row r="387" spans="1:23">
      <c r="A387" s="631"/>
      <c r="B387" s="194" t="s">
        <v>615</v>
      </c>
      <c r="C387" s="1987" t="s">
        <v>146</v>
      </c>
      <c r="D387" s="1973">
        <f t="shared" si="94"/>
        <v>550000</v>
      </c>
      <c r="E387" s="1499">
        <f t="shared" si="94"/>
        <v>200000</v>
      </c>
      <c r="F387" s="1500">
        <f t="shared" si="94"/>
        <v>400000</v>
      </c>
      <c r="G387" s="1728">
        <f t="shared" si="94"/>
        <v>400000</v>
      </c>
      <c r="H387" s="1728">
        <f t="shared" si="94"/>
        <v>0</v>
      </c>
      <c r="I387" s="1728">
        <f t="shared" si="94"/>
        <v>400000</v>
      </c>
      <c r="J387" s="675"/>
      <c r="K387" s="550"/>
      <c r="L387" s="550"/>
      <c r="M387" s="550"/>
      <c r="N387" s="550"/>
      <c r="O387" s="550"/>
      <c r="P387" s="550"/>
      <c r="Q387" s="550"/>
      <c r="R387" s="550"/>
      <c r="S387" s="550"/>
      <c r="T387" s="550"/>
      <c r="U387" s="550"/>
      <c r="V387" s="550"/>
      <c r="W387" s="550"/>
    </row>
    <row r="388" spans="1:23" s="260" customFormat="1" ht="28.8">
      <c r="A388" s="724"/>
      <c r="B388" s="259" t="s">
        <v>616</v>
      </c>
      <c r="C388" s="2020" t="s">
        <v>146</v>
      </c>
      <c r="D388" s="1984">
        <f t="shared" ref="D388:I388" si="95">SUM(D389:D407)</f>
        <v>82919000</v>
      </c>
      <c r="E388" s="1511">
        <f t="shared" si="95"/>
        <v>82379000</v>
      </c>
      <c r="F388" s="1512">
        <f t="shared" si="95"/>
        <v>95520000</v>
      </c>
      <c r="G388" s="1736">
        <f t="shared" si="95"/>
        <v>49872000</v>
      </c>
      <c r="H388" s="1736">
        <f t="shared" si="95"/>
        <v>0</v>
      </c>
      <c r="I388" s="1736">
        <f t="shared" si="95"/>
        <v>49872000</v>
      </c>
      <c r="J388" s="720"/>
      <c r="K388" s="723"/>
      <c r="L388" s="723"/>
      <c r="M388" s="723"/>
      <c r="N388" s="723"/>
      <c r="O388" s="723"/>
      <c r="P388" s="723"/>
      <c r="Q388" s="723"/>
      <c r="R388" s="723"/>
      <c r="S388" s="723"/>
      <c r="T388" s="723"/>
      <c r="U388" s="723"/>
      <c r="V388" s="723"/>
      <c r="W388" s="723"/>
    </row>
    <row r="389" spans="1:23" hidden="1">
      <c r="A389" s="631"/>
      <c r="B389" s="205" t="s">
        <v>150</v>
      </c>
      <c r="C389" s="1989"/>
      <c r="D389" s="1985">
        <f t="shared" ref="D389:I398" si="96">D130</f>
        <v>0</v>
      </c>
      <c r="E389" s="1513">
        <f t="shared" si="96"/>
        <v>0</v>
      </c>
      <c r="F389" s="1514">
        <f t="shared" si="96"/>
        <v>0</v>
      </c>
      <c r="G389" s="1737">
        <f t="shared" si="96"/>
        <v>0</v>
      </c>
      <c r="H389" s="1737">
        <f t="shared" si="96"/>
        <v>0</v>
      </c>
      <c r="I389" s="1737">
        <f t="shared" si="96"/>
        <v>0</v>
      </c>
      <c r="J389" s="675"/>
      <c r="K389" s="550"/>
      <c r="L389" s="550"/>
      <c r="M389" s="550"/>
      <c r="N389" s="550"/>
      <c r="O389" s="550"/>
      <c r="P389" s="550"/>
      <c r="Q389" s="550"/>
      <c r="R389" s="550"/>
      <c r="S389" s="550"/>
      <c r="T389" s="550"/>
      <c r="U389" s="550"/>
      <c r="V389" s="550"/>
      <c r="W389" s="550"/>
    </row>
    <row r="390" spans="1:23">
      <c r="A390" s="631"/>
      <c r="B390" s="205" t="s">
        <v>151</v>
      </c>
      <c r="C390" s="1989"/>
      <c r="D390" s="1985">
        <f t="shared" si="96"/>
        <v>5718000</v>
      </c>
      <c r="E390" s="1513">
        <f t="shared" si="96"/>
        <v>5178000</v>
      </c>
      <c r="F390" s="1514">
        <f t="shared" si="96"/>
        <v>0</v>
      </c>
      <c r="G390" s="1737">
        <f t="shared" si="96"/>
        <v>0</v>
      </c>
      <c r="H390" s="1737">
        <f t="shared" si="96"/>
        <v>0</v>
      </c>
      <c r="I390" s="1737">
        <f t="shared" si="96"/>
        <v>0</v>
      </c>
      <c r="J390" s="675"/>
      <c r="K390" s="550"/>
      <c r="L390" s="550"/>
      <c r="M390" s="550"/>
      <c r="N390" s="550"/>
      <c r="O390" s="550"/>
      <c r="P390" s="550"/>
      <c r="Q390" s="550"/>
      <c r="R390" s="550"/>
      <c r="S390" s="550"/>
      <c r="T390" s="550"/>
      <c r="U390" s="550"/>
      <c r="V390" s="550"/>
      <c r="W390" s="550"/>
    </row>
    <row r="391" spans="1:23" hidden="1">
      <c r="A391" s="631"/>
      <c r="B391" s="205" t="s">
        <v>152</v>
      </c>
      <c r="C391" s="1989"/>
      <c r="D391" s="1985">
        <f t="shared" si="96"/>
        <v>0</v>
      </c>
      <c r="E391" s="1513">
        <f t="shared" si="96"/>
        <v>0</v>
      </c>
      <c r="F391" s="1514">
        <f t="shared" si="96"/>
        <v>0</v>
      </c>
      <c r="G391" s="1737">
        <f t="shared" si="96"/>
        <v>0</v>
      </c>
      <c r="H391" s="1737">
        <f t="shared" si="96"/>
        <v>0</v>
      </c>
      <c r="I391" s="1737">
        <f t="shared" si="96"/>
        <v>0</v>
      </c>
      <c r="J391" s="675"/>
      <c r="K391" s="550"/>
      <c r="L391" s="550"/>
      <c r="M391" s="550"/>
      <c r="N391" s="550"/>
      <c r="O391" s="550"/>
      <c r="P391" s="550"/>
      <c r="Q391" s="550"/>
      <c r="R391" s="550"/>
      <c r="S391" s="550"/>
      <c r="T391" s="550"/>
      <c r="U391" s="550"/>
      <c r="V391" s="550"/>
      <c r="W391" s="550"/>
    </row>
    <row r="392" spans="1:23" hidden="1">
      <c r="A392" s="631"/>
      <c r="B392" s="205" t="s">
        <v>153</v>
      </c>
      <c r="C392" s="1989"/>
      <c r="D392" s="1985">
        <f t="shared" si="96"/>
        <v>0</v>
      </c>
      <c r="E392" s="1513">
        <f t="shared" si="96"/>
        <v>0</v>
      </c>
      <c r="F392" s="1514">
        <f t="shared" si="96"/>
        <v>0</v>
      </c>
      <c r="G392" s="1737">
        <f t="shared" si="96"/>
        <v>0</v>
      </c>
      <c r="H392" s="1737">
        <f t="shared" si="96"/>
        <v>0</v>
      </c>
      <c r="I392" s="1737">
        <f t="shared" si="96"/>
        <v>0</v>
      </c>
      <c r="J392" s="675"/>
      <c r="K392" s="550"/>
      <c r="L392" s="550"/>
      <c r="M392" s="550"/>
      <c r="N392" s="550"/>
      <c r="O392" s="550"/>
      <c r="P392" s="550"/>
      <c r="Q392" s="550"/>
      <c r="R392" s="550"/>
      <c r="S392" s="550"/>
      <c r="T392" s="550"/>
      <c r="U392" s="550"/>
      <c r="V392" s="550"/>
      <c r="W392" s="550"/>
    </row>
    <row r="393" spans="1:23" hidden="1">
      <c r="A393" s="631"/>
      <c r="B393" s="205" t="s">
        <v>154</v>
      </c>
      <c r="C393" s="1989"/>
      <c r="D393" s="1985">
        <f t="shared" si="96"/>
        <v>0</v>
      </c>
      <c r="E393" s="1513">
        <f t="shared" si="96"/>
        <v>0</v>
      </c>
      <c r="F393" s="1514">
        <f t="shared" si="96"/>
        <v>0</v>
      </c>
      <c r="G393" s="1737">
        <f t="shared" si="96"/>
        <v>0</v>
      </c>
      <c r="H393" s="1737">
        <f t="shared" si="96"/>
        <v>0</v>
      </c>
      <c r="I393" s="1737">
        <f t="shared" si="96"/>
        <v>0</v>
      </c>
      <c r="J393" s="675"/>
      <c r="K393" s="550"/>
      <c r="L393" s="550"/>
      <c r="M393" s="550"/>
      <c r="N393" s="550"/>
      <c r="O393" s="550"/>
      <c r="P393" s="550"/>
      <c r="Q393" s="550"/>
      <c r="R393" s="550"/>
      <c r="S393" s="550"/>
      <c r="T393" s="550"/>
      <c r="U393" s="550"/>
      <c r="V393" s="550"/>
      <c r="W393" s="550"/>
    </row>
    <row r="394" spans="1:23" hidden="1">
      <c r="A394" s="631"/>
      <c r="B394" s="205" t="s">
        <v>155</v>
      </c>
      <c r="C394" s="1989"/>
      <c r="D394" s="1985">
        <f t="shared" si="96"/>
        <v>0</v>
      </c>
      <c r="E394" s="1513">
        <f t="shared" si="96"/>
        <v>0</v>
      </c>
      <c r="F394" s="1514">
        <f t="shared" si="96"/>
        <v>0</v>
      </c>
      <c r="G394" s="1737">
        <f t="shared" si="96"/>
        <v>0</v>
      </c>
      <c r="H394" s="1737">
        <f t="shared" si="96"/>
        <v>0</v>
      </c>
      <c r="I394" s="1737">
        <f t="shared" si="96"/>
        <v>0</v>
      </c>
      <c r="J394" s="675"/>
      <c r="K394" s="550"/>
      <c r="L394" s="550"/>
      <c r="M394" s="550"/>
      <c r="N394" s="550"/>
      <c r="O394" s="550"/>
      <c r="P394" s="550"/>
      <c r="Q394" s="550"/>
      <c r="R394" s="550"/>
      <c r="S394" s="550"/>
      <c r="T394" s="550"/>
      <c r="U394" s="550"/>
      <c r="V394" s="550"/>
      <c r="W394" s="550"/>
    </row>
    <row r="395" spans="1:23" hidden="1">
      <c r="A395" s="631"/>
      <c r="B395" s="205" t="s">
        <v>156</v>
      </c>
      <c r="C395" s="1989"/>
      <c r="D395" s="1985">
        <f t="shared" si="96"/>
        <v>0</v>
      </c>
      <c r="E395" s="1513">
        <f t="shared" si="96"/>
        <v>0</v>
      </c>
      <c r="F395" s="1514">
        <f t="shared" si="96"/>
        <v>0</v>
      </c>
      <c r="G395" s="1737">
        <f t="shared" si="96"/>
        <v>0</v>
      </c>
      <c r="H395" s="1737">
        <f t="shared" si="96"/>
        <v>0</v>
      </c>
      <c r="I395" s="1737">
        <f t="shared" si="96"/>
        <v>0</v>
      </c>
      <c r="J395" s="675"/>
      <c r="K395" s="550"/>
      <c r="L395" s="550"/>
      <c r="M395" s="550"/>
      <c r="N395" s="550"/>
      <c r="O395" s="550"/>
      <c r="P395" s="550"/>
      <c r="Q395" s="550"/>
      <c r="R395" s="550"/>
      <c r="S395" s="550"/>
      <c r="T395" s="550"/>
      <c r="U395" s="550"/>
      <c r="V395" s="550"/>
      <c r="W395" s="550"/>
    </row>
    <row r="396" spans="1:23" hidden="1">
      <c r="A396" s="631"/>
      <c r="B396" s="205" t="s">
        <v>157</v>
      </c>
      <c r="C396" s="1989"/>
      <c r="D396" s="1985">
        <f t="shared" si="96"/>
        <v>0</v>
      </c>
      <c r="E396" s="1513">
        <f t="shared" si="96"/>
        <v>0</v>
      </c>
      <c r="F396" s="1514">
        <f t="shared" si="96"/>
        <v>0</v>
      </c>
      <c r="G396" s="1737">
        <f t="shared" si="96"/>
        <v>0</v>
      </c>
      <c r="H396" s="1737">
        <f t="shared" si="96"/>
        <v>0</v>
      </c>
      <c r="I396" s="1737">
        <f t="shared" si="96"/>
        <v>0</v>
      </c>
      <c r="J396" s="675"/>
      <c r="K396" s="550"/>
      <c r="L396" s="550"/>
      <c r="M396" s="550"/>
      <c r="N396" s="550"/>
      <c r="O396" s="550"/>
      <c r="P396" s="550"/>
      <c r="Q396" s="550"/>
      <c r="R396" s="550"/>
      <c r="S396" s="550"/>
      <c r="T396" s="550"/>
      <c r="U396" s="550"/>
      <c r="V396" s="550"/>
      <c r="W396" s="550"/>
    </row>
    <row r="397" spans="1:23" hidden="1">
      <c r="A397" s="631"/>
      <c r="B397" s="205" t="s">
        <v>158</v>
      </c>
      <c r="C397" s="1989"/>
      <c r="D397" s="1985">
        <f t="shared" si="96"/>
        <v>0</v>
      </c>
      <c r="E397" s="1513">
        <f t="shared" si="96"/>
        <v>0</v>
      </c>
      <c r="F397" s="1514">
        <f t="shared" si="96"/>
        <v>0</v>
      </c>
      <c r="G397" s="1737">
        <f t="shared" si="96"/>
        <v>0</v>
      </c>
      <c r="H397" s="1737">
        <f t="shared" si="96"/>
        <v>0</v>
      </c>
      <c r="I397" s="1737">
        <f t="shared" si="96"/>
        <v>0</v>
      </c>
      <c r="J397" s="675"/>
      <c r="K397" s="550"/>
      <c r="L397" s="550"/>
      <c r="M397" s="550"/>
      <c r="N397" s="550"/>
      <c r="O397" s="550"/>
      <c r="P397" s="550"/>
      <c r="Q397" s="550"/>
      <c r="R397" s="550"/>
      <c r="S397" s="550"/>
      <c r="T397" s="550"/>
      <c r="U397" s="550"/>
      <c r="V397" s="550"/>
      <c r="W397" s="550"/>
    </row>
    <row r="398" spans="1:23" hidden="1">
      <c r="A398" s="631"/>
      <c r="B398" s="205" t="s">
        <v>159</v>
      </c>
      <c r="C398" s="1989"/>
      <c r="D398" s="1985">
        <f t="shared" si="96"/>
        <v>0</v>
      </c>
      <c r="E398" s="1513">
        <f t="shared" si="96"/>
        <v>0</v>
      </c>
      <c r="F398" s="1514">
        <f t="shared" si="96"/>
        <v>0</v>
      </c>
      <c r="G398" s="1737">
        <f t="shared" si="96"/>
        <v>0</v>
      </c>
      <c r="H398" s="1737">
        <f t="shared" si="96"/>
        <v>0</v>
      </c>
      <c r="I398" s="1737">
        <f t="shared" si="96"/>
        <v>0</v>
      </c>
      <c r="J398" s="675"/>
      <c r="K398" s="550"/>
      <c r="L398" s="550"/>
      <c r="M398" s="550"/>
      <c r="N398" s="550"/>
      <c r="O398" s="550"/>
      <c r="P398" s="550"/>
      <c r="Q398" s="550"/>
      <c r="R398" s="550"/>
      <c r="S398" s="550"/>
      <c r="T398" s="550"/>
      <c r="U398" s="550"/>
      <c r="V398" s="550"/>
      <c r="W398" s="550"/>
    </row>
    <row r="399" spans="1:23" hidden="1">
      <c r="A399" s="631"/>
      <c r="B399" s="205" t="s">
        <v>160</v>
      </c>
      <c r="C399" s="1989"/>
      <c r="D399" s="1985">
        <f t="shared" ref="D399:I406" si="97">D140</f>
        <v>0</v>
      </c>
      <c r="E399" s="1513">
        <f t="shared" si="97"/>
        <v>0</v>
      </c>
      <c r="F399" s="1514">
        <f t="shared" si="97"/>
        <v>0</v>
      </c>
      <c r="G399" s="1737">
        <f t="shared" si="97"/>
        <v>0</v>
      </c>
      <c r="H399" s="1737">
        <f t="shared" si="97"/>
        <v>0</v>
      </c>
      <c r="I399" s="1737">
        <f t="shared" si="97"/>
        <v>0</v>
      </c>
      <c r="J399" s="675"/>
      <c r="K399" s="550"/>
      <c r="L399" s="550"/>
      <c r="M399" s="550"/>
      <c r="N399" s="550"/>
      <c r="O399" s="550"/>
      <c r="P399" s="550"/>
      <c r="Q399" s="550"/>
      <c r="R399" s="550"/>
      <c r="S399" s="550"/>
      <c r="T399" s="550"/>
      <c r="U399" s="550"/>
      <c r="V399" s="550"/>
      <c r="W399" s="550"/>
    </row>
    <row r="400" spans="1:23" hidden="1">
      <c r="A400" s="631"/>
      <c r="B400" s="205" t="s">
        <v>161</v>
      </c>
      <c r="C400" s="1989"/>
      <c r="D400" s="1985">
        <f t="shared" si="97"/>
        <v>0</v>
      </c>
      <c r="E400" s="1513">
        <f t="shared" si="97"/>
        <v>0</v>
      </c>
      <c r="F400" s="1514">
        <f t="shared" si="97"/>
        <v>0</v>
      </c>
      <c r="G400" s="1737">
        <f t="shared" si="97"/>
        <v>0</v>
      </c>
      <c r="H400" s="1737">
        <f t="shared" si="97"/>
        <v>0</v>
      </c>
      <c r="I400" s="1737">
        <f t="shared" si="97"/>
        <v>0</v>
      </c>
      <c r="J400" s="675"/>
      <c r="K400" s="550"/>
      <c r="L400" s="550"/>
      <c r="M400" s="550"/>
      <c r="N400" s="550"/>
      <c r="O400" s="550"/>
      <c r="P400" s="550"/>
      <c r="Q400" s="550"/>
      <c r="R400" s="550"/>
      <c r="S400" s="550"/>
      <c r="T400" s="550"/>
      <c r="U400" s="550"/>
      <c r="V400" s="550"/>
      <c r="W400" s="550"/>
    </row>
    <row r="401" spans="1:23" hidden="1">
      <c r="A401" s="631"/>
      <c r="B401" s="205" t="s">
        <v>162</v>
      </c>
      <c r="C401" s="1989"/>
      <c r="D401" s="1985">
        <f t="shared" si="97"/>
        <v>0</v>
      </c>
      <c r="E401" s="1513">
        <f t="shared" si="97"/>
        <v>0</v>
      </c>
      <c r="F401" s="1514">
        <f t="shared" si="97"/>
        <v>0</v>
      </c>
      <c r="G401" s="1737">
        <f t="shared" si="97"/>
        <v>0</v>
      </c>
      <c r="H401" s="1737">
        <f t="shared" si="97"/>
        <v>0</v>
      </c>
      <c r="I401" s="1737">
        <f t="shared" si="97"/>
        <v>0</v>
      </c>
      <c r="J401" s="675"/>
      <c r="K401" s="550"/>
      <c r="L401" s="550"/>
      <c r="M401" s="550"/>
      <c r="N401" s="550"/>
      <c r="O401" s="550"/>
      <c r="P401" s="550"/>
      <c r="Q401" s="550"/>
      <c r="R401" s="550"/>
      <c r="S401" s="550"/>
      <c r="T401" s="550"/>
      <c r="U401" s="550"/>
      <c r="V401" s="550"/>
      <c r="W401" s="550"/>
    </row>
    <row r="402" spans="1:23" hidden="1">
      <c r="A402" s="631"/>
      <c r="B402" s="205" t="s">
        <v>163</v>
      </c>
      <c r="C402" s="1989"/>
      <c r="D402" s="1985">
        <f t="shared" si="97"/>
        <v>0</v>
      </c>
      <c r="E402" s="1513">
        <f t="shared" si="97"/>
        <v>0</v>
      </c>
      <c r="F402" s="1514">
        <f t="shared" si="97"/>
        <v>0</v>
      </c>
      <c r="G402" s="1737">
        <f t="shared" si="97"/>
        <v>0</v>
      </c>
      <c r="H402" s="1737">
        <f t="shared" si="97"/>
        <v>0</v>
      </c>
      <c r="I402" s="1737">
        <f t="shared" si="97"/>
        <v>0</v>
      </c>
      <c r="J402" s="675"/>
      <c r="K402" s="550"/>
      <c r="L402" s="550"/>
      <c r="M402" s="550"/>
      <c r="N402" s="550"/>
      <c r="O402" s="550"/>
      <c r="P402" s="550"/>
      <c r="Q402" s="550"/>
      <c r="R402" s="550"/>
      <c r="S402" s="550"/>
      <c r="T402" s="550"/>
      <c r="U402" s="550"/>
      <c r="V402" s="550"/>
      <c r="W402" s="550"/>
    </row>
    <row r="403" spans="1:23" hidden="1">
      <c r="A403" s="631"/>
      <c r="B403" s="205" t="s">
        <v>164</v>
      </c>
      <c r="C403" s="1989"/>
      <c r="D403" s="1985">
        <f t="shared" si="97"/>
        <v>0</v>
      </c>
      <c r="E403" s="1513">
        <f t="shared" si="97"/>
        <v>0</v>
      </c>
      <c r="F403" s="1514">
        <f t="shared" si="97"/>
        <v>0</v>
      </c>
      <c r="G403" s="1737">
        <f t="shared" si="97"/>
        <v>0</v>
      </c>
      <c r="H403" s="1737">
        <f t="shared" si="97"/>
        <v>0</v>
      </c>
      <c r="I403" s="1737">
        <f t="shared" si="97"/>
        <v>0</v>
      </c>
      <c r="J403" s="675"/>
      <c r="K403" s="550"/>
      <c r="L403" s="550"/>
      <c r="M403" s="550"/>
      <c r="N403" s="550"/>
      <c r="O403" s="550"/>
      <c r="P403" s="550"/>
      <c r="Q403" s="550"/>
      <c r="R403" s="550"/>
      <c r="S403" s="550"/>
      <c r="T403" s="550"/>
      <c r="U403" s="550"/>
      <c r="V403" s="550"/>
      <c r="W403" s="550"/>
    </row>
    <row r="404" spans="1:23">
      <c r="A404" s="631"/>
      <c r="B404" s="205" t="s">
        <v>165</v>
      </c>
      <c r="C404" s="1989"/>
      <c r="D404" s="1985">
        <f t="shared" si="97"/>
        <v>460000</v>
      </c>
      <c r="E404" s="1513">
        <f t="shared" si="97"/>
        <v>460000</v>
      </c>
      <c r="F404" s="1514">
        <f t="shared" si="97"/>
        <v>520000</v>
      </c>
      <c r="G404" s="1737">
        <f t="shared" si="97"/>
        <v>520000</v>
      </c>
      <c r="H404" s="1737">
        <f t="shared" si="97"/>
        <v>0</v>
      </c>
      <c r="I404" s="1737">
        <f t="shared" si="97"/>
        <v>520000</v>
      </c>
      <c r="J404" s="675"/>
      <c r="K404" s="550"/>
      <c r="L404" s="550"/>
      <c r="M404" s="550"/>
      <c r="N404" s="550"/>
      <c r="O404" s="550"/>
      <c r="P404" s="550"/>
      <c r="Q404" s="550"/>
      <c r="R404" s="550"/>
      <c r="S404" s="550"/>
      <c r="T404" s="550"/>
      <c r="U404" s="550"/>
      <c r="V404" s="550"/>
      <c r="W404" s="550"/>
    </row>
    <row r="405" spans="1:23">
      <c r="A405" s="631"/>
      <c r="B405" s="205" t="s">
        <v>166</v>
      </c>
      <c r="C405" s="1989"/>
      <c r="D405" s="1985">
        <f t="shared" si="97"/>
        <v>76741000</v>
      </c>
      <c r="E405" s="1513">
        <f t="shared" si="97"/>
        <v>76741000</v>
      </c>
      <c r="F405" s="1514">
        <f t="shared" si="97"/>
        <v>75000000</v>
      </c>
      <c r="G405" s="1737">
        <f t="shared" si="97"/>
        <v>49352000</v>
      </c>
      <c r="H405" s="1737">
        <f t="shared" si="97"/>
        <v>0</v>
      </c>
      <c r="I405" s="1737">
        <f t="shared" si="97"/>
        <v>49352000</v>
      </c>
      <c r="J405" s="675"/>
      <c r="K405" s="550"/>
      <c r="L405" s="550"/>
      <c r="M405" s="550"/>
      <c r="N405" s="550"/>
      <c r="O405" s="550"/>
      <c r="P405" s="550"/>
      <c r="Q405" s="550"/>
      <c r="R405" s="550"/>
      <c r="S405" s="550"/>
      <c r="T405" s="550"/>
      <c r="U405" s="550"/>
      <c r="V405" s="550"/>
      <c r="W405" s="550"/>
    </row>
    <row r="406" spans="1:23" hidden="1">
      <c r="A406" s="631"/>
      <c r="B406" s="205" t="s">
        <v>167</v>
      </c>
      <c r="C406" s="1989"/>
      <c r="D406" s="1985">
        <f t="shared" si="97"/>
        <v>0</v>
      </c>
      <c r="E406" s="1513">
        <f t="shared" si="97"/>
        <v>0</v>
      </c>
      <c r="F406" s="1514">
        <f t="shared" si="97"/>
        <v>0</v>
      </c>
      <c r="G406" s="1737">
        <f t="shared" si="97"/>
        <v>0</v>
      </c>
      <c r="H406" s="1737">
        <f t="shared" si="97"/>
        <v>0</v>
      </c>
      <c r="I406" s="1737">
        <f t="shared" si="97"/>
        <v>0</v>
      </c>
      <c r="J406" s="675"/>
      <c r="K406" s="550"/>
      <c r="L406" s="550"/>
      <c r="M406" s="550"/>
      <c r="N406" s="550"/>
      <c r="O406" s="550"/>
      <c r="P406" s="550"/>
      <c r="Q406" s="550"/>
      <c r="R406" s="550"/>
      <c r="S406" s="550"/>
      <c r="T406" s="550"/>
      <c r="U406" s="550"/>
      <c r="V406" s="550"/>
      <c r="W406" s="550"/>
    </row>
    <row r="407" spans="1:23" hidden="1">
      <c r="A407" s="631"/>
      <c r="B407" s="205" t="s">
        <v>168</v>
      </c>
      <c r="C407" s="1989"/>
      <c r="D407" s="1985">
        <f t="shared" ref="D407:I407" si="98">D150</f>
        <v>0</v>
      </c>
      <c r="E407" s="1513">
        <f t="shared" si="98"/>
        <v>0</v>
      </c>
      <c r="F407" s="1514">
        <f t="shared" si="98"/>
        <v>20000000</v>
      </c>
      <c r="G407" s="1737">
        <f t="shared" si="98"/>
        <v>0</v>
      </c>
      <c r="H407" s="1737">
        <f t="shared" si="98"/>
        <v>0</v>
      </c>
      <c r="I407" s="1737">
        <f t="shared" si="98"/>
        <v>0</v>
      </c>
      <c r="J407" s="675"/>
      <c r="K407" s="550"/>
      <c r="L407" s="775">
        <f>I407-5200</f>
        <v>-5200</v>
      </c>
      <c r="M407" s="775" t="e">
        <f>#REF!-5200</f>
        <v>#REF!</v>
      </c>
      <c r="N407" s="550"/>
      <c r="O407" s="550"/>
      <c r="P407" s="550"/>
      <c r="Q407" s="550"/>
      <c r="R407" s="550"/>
      <c r="S407" s="550"/>
      <c r="T407" s="550"/>
      <c r="U407" s="550"/>
      <c r="V407" s="550"/>
      <c r="W407" s="550"/>
    </row>
    <row r="408" spans="1:23">
      <c r="A408" s="631"/>
      <c r="B408" s="663"/>
      <c r="C408" s="1989"/>
      <c r="D408" s="1979"/>
      <c r="E408" s="1447"/>
      <c r="F408" s="1448"/>
      <c r="G408" s="1699"/>
      <c r="H408" s="1699"/>
      <c r="I408" s="1699"/>
      <c r="J408" s="675"/>
      <c r="K408" s="550"/>
      <c r="L408" s="550"/>
      <c r="M408" s="550"/>
      <c r="N408" s="550"/>
      <c r="O408" s="550"/>
      <c r="P408" s="550"/>
      <c r="Q408" s="550"/>
      <c r="R408" s="550"/>
      <c r="S408" s="550"/>
      <c r="T408" s="550"/>
      <c r="U408" s="550"/>
      <c r="V408" s="550"/>
      <c r="W408" s="550"/>
    </row>
    <row r="409" spans="1:23" s="256" customFormat="1" ht="14.4">
      <c r="A409" s="253" t="s">
        <v>17</v>
      </c>
      <c r="B409" s="254" t="s">
        <v>169</v>
      </c>
      <c r="C409" s="2021"/>
      <c r="D409" s="1984">
        <f t="shared" ref="D409:I409" si="99">SUM(D410:D411)</f>
        <v>3264133000</v>
      </c>
      <c r="E409" s="1511">
        <f t="shared" si="99"/>
        <v>3263133000</v>
      </c>
      <c r="F409" s="1512">
        <f t="shared" si="99"/>
        <v>3417940000</v>
      </c>
      <c r="G409" s="1736">
        <f t="shared" si="99"/>
        <v>3305903000</v>
      </c>
      <c r="H409" s="1736">
        <f t="shared" si="99"/>
        <v>0</v>
      </c>
      <c r="I409" s="1736">
        <f t="shared" si="99"/>
        <v>3305903000</v>
      </c>
      <c r="J409" s="720"/>
      <c r="K409" s="722"/>
      <c r="L409" s="722"/>
      <c r="M409" s="722"/>
      <c r="N409" s="722"/>
      <c r="O409" s="722"/>
      <c r="P409" s="722"/>
      <c r="Q409" s="722"/>
      <c r="R409" s="722"/>
      <c r="S409" s="722"/>
      <c r="T409" s="722"/>
      <c r="U409" s="722"/>
      <c r="V409" s="722"/>
      <c r="W409" s="722"/>
    </row>
    <row r="410" spans="1:23" s="256" customFormat="1" ht="14.4">
      <c r="A410" s="253" t="s">
        <v>170</v>
      </c>
      <c r="B410" s="257" t="s">
        <v>145</v>
      </c>
      <c r="C410" s="2020" t="s">
        <v>171</v>
      </c>
      <c r="D410" s="1984">
        <f>SUM(D417,D418,D419,D420,D421,D422,D423,D424,D412+D416)</f>
        <v>3264133000</v>
      </c>
      <c r="E410" s="1511">
        <f>SUM(E417,E418,E419,E420,E421,E422,E423,E424,E412+E416)</f>
        <v>3263133000</v>
      </c>
      <c r="F410" s="1512">
        <f>SUM(F417,F418,F419,F420,F421,F422,F423,F424,F412+F416)</f>
        <v>3417940000</v>
      </c>
      <c r="G410" s="1736">
        <f>SUM(G417,G418,G419,G420,G421,G422,G423,G424,G412+G416)</f>
        <v>3305903000</v>
      </c>
      <c r="H410" s="1736">
        <f>SUM(H417:H417,H418,H419,H420,H421,H422,H423,H424,H412)</f>
        <v>0</v>
      </c>
      <c r="I410" s="1736">
        <f>SUM(I417:I417,I418,I419,I420,I421,I422,I423,I424,I412)</f>
        <v>3305903000</v>
      </c>
      <c r="J410" s="720"/>
      <c r="K410" s="722"/>
      <c r="L410" s="722"/>
      <c r="M410" s="722"/>
      <c r="N410" s="722"/>
      <c r="O410" s="722"/>
      <c r="P410" s="722"/>
      <c r="Q410" s="722"/>
      <c r="R410" s="722"/>
      <c r="S410" s="722"/>
      <c r="T410" s="722"/>
      <c r="U410" s="722"/>
      <c r="V410" s="722"/>
      <c r="W410" s="722"/>
    </row>
    <row r="411" spans="1:23" s="256" customFormat="1" ht="14.4">
      <c r="A411" s="253" t="s">
        <v>172</v>
      </c>
      <c r="B411" s="257" t="s">
        <v>148</v>
      </c>
      <c r="C411" s="2020" t="s">
        <v>173</v>
      </c>
      <c r="D411" s="1984">
        <f t="shared" ref="D411:I411" si="100">SUM(D416)</f>
        <v>0</v>
      </c>
      <c r="E411" s="1511">
        <f t="shared" si="100"/>
        <v>0</v>
      </c>
      <c r="F411" s="1512">
        <f t="shared" si="100"/>
        <v>0</v>
      </c>
      <c r="G411" s="1736">
        <f t="shared" si="100"/>
        <v>0</v>
      </c>
      <c r="H411" s="1736">
        <f t="shared" si="100"/>
        <v>0</v>
      </c>
      <c r="I411" s="1736">
        <f t="shared" si="100"/>
        <v>0</v>
      </c>
      <c r="J411" s="720"/>
      <c r="K411" s="722"/>
      <c r="L411" s="722"/>
      <c r="M411" s="722"/>
      <c r="N411" s="722"/>
      <c r="O411" s="722"/>
      <c r="P411" s="722"/>
      <c r="Q411" s="722"/>
      <c r="R411" s="722"/>
      <c r="S411" s="722"/>
      <c r="T411" s="722"/>
      <c r="U411" s="722"/>
      <c r="V411" s="722"/>
      <c r="W411" s="722"/>
    </row>
    <row r="412" spans="1:23" s="256" customFormat="1" ht="14.4">
      <c r="A412" s="728"/>
      <c r="B412" s="261" t="s">
        <v>617</v>
      </c>
      <c r="C412" s="2020" t="s">
        <v>171</v>
      </c>
      <c r="D412" s="1984">
        <f t="shared" ref="D412:I412" si="101">SUM(D413:D415)</f>
        <v>94610000</v>
      </c>
      <c r="E412" s="1511">
        <f t="shared" si="101"/>
        <v>94610000</v>
      </c>
      <c r="F412" s="1512">
        <f t="shared" si="101"/>
        <v>105837000</v>
      </c>
      <c r="G412" s="1736">
        <f t="shared" si="101"/>
        <v>97600000</v>
      </c>
      <c r="H412" s="1736">
        <f t="shared" si="101"/>
        <v>0</v>
      </c>
      <c r="I412" s="1736">
        <f t="shared" si="101"/>
        <v>97600000</v>
      </c>
      <c r="J412" s="720"/>
      <c r="K412" s="722"/>
      <c r="L412" s="722"/>
      <c r="M412" s="722"/>
      <c r="N412" s="722"/>
      <c r="O412" s="722"/>
      <c r="P412" s="722"/>
      <c r="Q412" s="722"/>
      <c r="R412" s="722"/>
      <c r="S412" s="722"/>
      <c r="T412" s="722"/>
      <c r="U412" s="722"/>
      <c r="V412" s="722"/>
      <c r="W412" s="722"/>
    </row>
    <row r="413" spans="1:23" s="155" customFormat="1" ht="14.4">
      <c r="A413" s="661"/>
      <c r="B413" s="205" t="s">
        <v>174</v>
      </c>
      <c r="C413" s="1987" t="s">
        <v>171</v>
      </c>
      <c r="D413" s="1985">
        <f t="shared" ref="D413:I423" si="102">D156</f>
        <v>50000</v>
      </c>
      <c r="E413" s="1513">
        <f t="shared" si="102"/>
        <v>50000</v>
      </c>
      <c r="F413" s="1514">
        <f t="shared" si="102"/>
        <v>50000</v>
      </c>
      <c r="G413" s="1737">
        <f t="shared" si="102"/>
        <v>50000</v>
      </c>
      <c r="H413" s="1737">
        <f t="shared" si="102"/>
        <v>0</v>
      </c>
      <c r="I413" s="1737">
        <f t="shared" si="102"/>
        <v>50000</v>
      </c>
      <c r="J413" s="675"/>
      <c r="K413" s="566"/>
      <c r="L413" s="566"/>
      <c r="M413" s="566"/>
      <c r="N413" s="566"/>
      <c r="O413" s="566"/>
      <c r="P413" s="566"/>
      <c r="Q413" s="566"/>
      <c r="R413" s="566"/>
      <c r="S413" s="566"/>
      <c r="T413" s="566"/>
      <c r="U413" s="566"/>
      <c r="V413" s="566"/>
      <c r="W413" s="566"/>
    </row>
    <row r="414" spans="1:23" s="155" customFormat="1" ht="14.4">
      <c r="A414" s="661"/>
      <c r="B414" s="205" t="s">
        <v>175</v>
      </c>
      <c r="C414" s="1987" t="s">
        <v>171</v>
      </c>
      <c r="D414" s="1985">
        <f t="shared" si="102"/>
        <v>89523000</v>
      </c>
      <c r="E414" s="1513">
        <f t="shared" si="102"/>
        <v>89523000</v>
      </c>
      <c r="F414" s="1514">
        <f t="shared" si="102"/>
        <v>100844000</v>
      </c>
      <c r="G414" s="1737">
        <f t="shared" si="102"/>
        <v>92607000</v>
      </c>
      <c r="H414" s="1737">
        <f t="shared" si="102"/>
        <v>0</v>
      </c>
      <c r="I414" s="1737">
        <f t="shared" si="102"/>
        <v>92607000</v>
      </c>
      <c r="J414" s="675"/>
      <c r="K414" s="566"/>
      <c r="L414" s="566"/>
      <c r="M414" s="566"/>
      <c r="N414" s="566"/>
      <c r="O414" s="566"/>
      <c r="P414" s="566"/>
      <c r="Q414" s="566"/>
      <c r="R414" s="566"/>
      <c r="S414" s="566"/>
      <c r="T414" s="566"/>
      <c r="U414" s="566"/>
      <c r="V414" s="566"/>
      <c r="W414" s="566"/>
    </row>
    <row r="415" spans="1:23" s="155" customFormat="1" ht="14.4">
      <c r="A415" s="661"/>
      <c r="B415" s="205" t="s">
        <v>176</v>
      </c>
      <c r="C415" s="1987" t="s">
        <v>171</v>
      </c>
      <c r="D415" s="1985">
        <f t="shared" si="102"/>
        <v>5037000</v>
      </c>
      <c r="E415" s="1513">
        <f t="shared" si="102"/>
        <v>5037000</v>
      </c>
      <c r="F415" s="1514">
        <f t="shared" si="102"/>
        <v>4943000</v>
      </c>
      <c r="G415" s="1737">
        <f t="shared" si="102"/>
        <v>4943000</v>
      </c>
      <c r="H415" s="1737">
        <f t="shared" si="102"/>
        <v>0</v>
      </c>
      <c r="I415" s="1737">
        <f t="shared" si="102"/>
        <v>4943000</v>
      </c>
      <c r="J415" s="675"/>
      <c r="K415" s="566"/>
      <c r="L415" s="566"/>
      <c r="M415" s="566"/>
      <c r="N415" s="566"/>
      <c r="O415" s="566"/>
      <c r="P415" s="566"/>
      <c r="Q415" s="566"/>
      <c r="R415" s="566"/>
      <c r="S415" s="566"/>
      <c r="T415" s="566"/>
      <c r="U415" s="566"/>
      <c r="V415" s="566"/>
      <c r="W415" s="566"/>
    </row>
    <row r="416" spans="1:23" s="155" customFormat="1" ht="14.4">
      <c r="A416" s="661"/>
      <c r="B416" s="194" t="s">
        <v>611</v>
      </c>
      <c r="C416" s="1987" t="s">
        <v>173</v>
      </c>
      <c r="D416" s="1985">
        <f t="shared" si="102"/>
        <v>0</v>
      </c>
      <c r="E416" s="1513">
        <f t="shared" si="102"/>
        <v>0</v>
      </c>
      <c r="F416" s="1514">
        <f t="shared" si="102"/>
        <v>0</v>
      </c>
      <c r="G416" s="1737">
        <f t="shared" si="102"/>
        <v>0</v>
      </c>
      <c r="H416" s="1737">
        <f t="shared" si="102"/>
        <v>0</v>
      </c>
      <c r="I416" s="1737">
        <f t="shared" si="102"/>
        <v>0</v>
      </c>
      <c r="J416" s="675"/>
      <c r="K416" s="566"/>
      <c r="L416" s="566"/>
      <c r="M416" s="566"/>
      <c r="N416" s="566"/>
      <c r="O416" s="566"/>
      <c r="P416" s="566"/>
      <c r="Q416" s="566"/>
      <c r="R416" s="566"/>
      <c r="S416" s="566"/>
      <c r="T416" s="566"/>
      <c r="U416" s="566"/>
      <c r="V416" s="566"/>
      <c r="W416" s="566"/>
    </row>
    <row r="417" spans="1:23" s="155" customFormat="1" ht="14.4">
      <c r="A417" s="661"/>
      <c r="B417" s="194" t="s">
        <v>612</v>
      </c>
      <c r="C417" s="1987" t="s">
        <v>171</v>
      </c>
      <c r="D417" s="1985">
        <f t="shared" si="102"/>
        <v>79000</v>
      </c>
      <c r="E417" s="1513">
        <f t="shared" si="102"/>
        <v>79000</v>
      </c>
      <c r="F417" s="1514">
        <f t="shared" si="102"/>
        <v>2400000</v>
      </c>
      <c r="G417" s="1737">
        <f t="shared" si="102"/>
        <v>1400000</v>
      </c>
      <c r="H417" s="1737">
        <f t="shared" si="102"/>
        <v>0</v>
      </c>
      <c r="I417" s="1737">
        <f t="shared" si="102"/>
        <v>1400000</v>
      </c>
      <c r="J417" s="675"/>
      <c r="K417" s="566"/>
      <c r="L417" s="566"/>
      <c r="M417" s="566"/>
      <c r="N417" s="566"/>
      <c r="O417" s="566"/>
      <c r="P417" s="566"/>
      <c r="Q417" s="566"/>
      <c r="R417" s="566"/>
      <c r="S417" s="566"/>
      <c r="T417" s="566"/>
      <c r="U417" s="566"/>
      <c r="V417" s="566"/>
      <c r="W417" s="566"/>
    </row>
    <row r="418" spans="1:23" s="155" customFormat="1" ht="14.4">
      <c r="A418" s="661"/>
      <c r="B418" s="207" t="s">
        <v>618</v>
      </c>
      <c r="C418" s="1987" t="s">
        <v>171</v>
      </c>
      <c r="D418" s="1985">
        <f t="shared" si="102"/>
        <v>3000000</v>
      </c>
      <c r="E418" s="1513">
        <f t="shared" si="102"/>
        <v>2000000</v>
      </c>
      <c r="F418" s="1514">
        <f t="shared" si="102"/>
        <v>3000000</v>
      </c>
      <c r="G418" s="1737">
        <f t="shared" si="102"/>
        <v>2500000</v>
      </c>
      <c r="H418" s="1737">
        <f t="shared" si="102"/>
        <v>0</v>
      </c>
      <c r="I418" s="1737">
        <f t="shared" si="102"/>
        <v>2500000</v>
      </c>
      <c r="J418" s="675"/>
      <c r="K418" s="566"/>
      <c r="L418" s="566"/>
      <c r="M418" s="566"/>
      <c r="N418" s="566"/>
      <c r="O418" s="566"/>
      <c r="P418" s="566"/>
      <c r="Q418" s="566"/>
      <c r="R418" s="566"/>
      <c r="S418" s="566"/>
      <c r="T418" s="566"/>
      <c r="U418" s="566"/>
      <c r="V418" s="566"/>
      <c r="W418" s="566"/>
    </row>
    <row r="419" spans="1:23" s="155" customFormat="1" ht="33" customHeight="1">
      <c r="A419" s="661"/>
      <c r="B419" s="207" t="s">
        <v>619</v>
      </c>
      <c r="C419" s="1987" t="s">
        <v>171</v>
      </c>
      <c r="D419" s="1985">
        <f t="shared" si="102"/>
        <v>5000000</v>
      </c>
      <c r="E419" s="1513">
        <f t="shared" si="102"/>
        <v>5000000</v>
      </c>
      <c r="F419" s="1514">
        <f t="shared" si="102"/>
        <v>9000000</v>
      </c>
      <c r="G419" s="1737">
        <f t="shared" si="102"/>
        <v>6500000</v>
      </c>
      <c r="H419" s="1737">
        <f t="shared" si="102"/>
        <v>0</v>
      </c>
      <c r="I419" s="1737">
        <f t="shared" si="102"/>
        <v>6500000</v>
      </c>
      <c r="J419" s="675"/>
      <c r="K419" s="566"/>
      <c r="L419" s="566"/>
      <c r="M419" s="566"/>
      <c r="N419" s="566"/>
      <c r="O419" s="566"/>
      <c r="P419" s="566"/>
      <c r="Q419" s="566"/>
      <c r="R419" s="566"/>
      <c r="S419" s="566"/>
      <c r="T419" s="566"/>
      <c r="U419" s="566"/>
      <c r="V419" s="566"/>
      <c r="W419" s="566"/>
    </row>
    <row r="420" spans="1:23" s="155" customFormat="1" ht="14.4">
      <c r="A420" s="661"/>
      <c r="B420" s="194" t="s">
        <v>620</v>
      </c>
      <c r="C420" s="161" t="s">
        <v>171</v>
      </c>
      <c r="D420" s="905">
        <f t="shared" si="102"/>
        <v>2980196000</v>
      </c>
      <c r="E420" s="1513">
        <f t="shared" si="102"/>
        <v>2980196000</v>
      </c>
      <c r="F420" s="1514">
        <f t="shared" si="102"/>
        <v>3020000000</v>
      </c>
      <c r="G420" s="1737">
        <f t="shared" si="102"/>
        <v>2985000000</v>
      </c>
      <c r="H420" s="1737">
        <f t="shared" si="102"/>
        <v>0</v>
      </c>
      <c r="I420" s="1737">
        <f t="shared" si="102"/>
        <v>2985000000</v>
      </c>
      <c r="J420" s="675"/>
      <c r="K420" s="566"/>
      <c r="L420" s="566"/>
      <c r="M420" s="566"/>
      <c r="N420" s="566"/>
      <c r="O420" s="566"/>
      <c r="P420" s="566"/>
      <c r="Q420" s="566"/>
      <c r="R420" s="566"/>
      <c r="S420" s="566"/>
      <c r="T420" s="566"/>
      <c r="U420" s="566"/>
      <c r="V420" s="566"/>
      <c r="W420" s="566"/>
    </row>
    <row r="421" spans="1:23" s="155" customFormat="1" ht="14.4">
      <c r="A421" s="661"/>
      <c r="B421" s="194" t="s">
        <v>177</v>
      </c>
      <c r="C421" s="161" t="s">
        <v>171</v>
      </c>
      <c r="D421" s="905">
        <f t="shared" si="102"/>
        <v>3000</v>
      </c>
      <c r="E421" s="1513">
        <f t="shared" si="102"/>
        <v>3000</v>
      </c>
      <c r="F421" s="1514">
        <f t="shared" si="102"/>
        <v>3000</v>
      </c>
      <c r="G421" s="1737">
        <f t="shared" si="102"/>
        <v>3000</v>
      </c>
      <c r="H421" s="1737">
        <f t="shared" si="102"/>
        <v>0</v>
      </c>
      <c r="I421" s="1737">
        <f t="shared" si="102"/>
        <v>3000</v>
      </c>
      <c r="J421" s="675"/>
      <c r="K421" s="566"/>
      <c r="L421" s="566"/>
      <c r="M421" s="566"/>
      <c r="N421" s="566"/>
      <c r="O421" s="566"/>
      <c r="P421" s="566"/>
      <c r="Q421" s="566"/>
      <c r="R421" s="566"/>
      <c r="S421" s="566"/>
      <c r="T421" s="566"/>
      <c r="U421" s="566"/>
      <c r="V421" s="566"/>
      <c r="W421" s="566"/>
    </row>
    <row r="422" spans="1:23" s="155" customFormat="1" ht="14.4">
      <c r="A422" s="661"/>
      <c r="B422" s="194" t="s">
        <v>614</v>
      </c>
      <c r="C422" s="161" t="s">
        <v>171</v>
      </c>
      <c r="D422" s="905">
        <f t="shared" si="102"/>
        <v>2500000</v>
      </c>
      <c r="E422" s="1513">
        <f t="shared" si="102"/>
        <v>2500000</v>
      </c>
      <c r="F422" s="1514">
        <f t="shared" si="102"/>
        <v>2500000</v>
      </c>
      <c r="G422" s="1737">
        <f t="shared" si="102"/>
        <v>2000000</v>
      </c>
      <c r="H422" s="1737">
        <f t="shared" si="102"/>
        <v>0</v>
      </c>
      <c r="I422" s="1737">
        <f t="shared" si="102"/>
        <v>2000000</v>
      </c>
      <c r="J422" s="675"/>
      <c r="K422" s="566"/>
      <c r="L422" s="566"/>
      <c r="M422" s="566"/>
      <c r="N422" s="566"/>
      <c r="O422" s="566"/>
      <c r="P422" s="566"/>
      <c r="Q422" s="566"/>
      <c r="R422" s="566"/>
      <c r="S422" s="566"/>
      <c r="T422" s="566"/>
      <c r="U422" s="566"/>
      <c r="V422" s="566"/>
      <c r="W422" s="566"/>
    </row>
    <row r="423" spans="1:23" s="155" customFormat="1" ht="14.4">
      <c r="A423" s="661"/>
      <c r="B423" s="194" t="s">
        <v>621</v>
      </c>
      <c r="C423" s="161" t="s">
        <v>171</v>
      </c>
      <c r="D423" s="905">
        <f t="shared" si="102"/>
        <v>171545000</v>
      </c>
      <c r="E423" s="1513">
        <f t="shared" si="102"/>
        <v>171545000</v>
      </c>
      <c r="F423" s="1514">
        <f t="shared" si="102"/>
        <v>271600000</v>
      </c>
      <c r="G423" s="1737">
        <f t="shared" si="102"/>
        <v>207300000</v>
      </c>
      <c r="H423" s="1737">
        <f t="shared" si="102"/>
        <v>0</v>
      </c>
      <c r="I423" s="1737">
        <f t="shared" si="102"/>
        <v>207300000</v>
      </c>
      <c r="J423" s="675"/>
      <c r="K423" s="566"/>
      <c r="L423" s="566"/>
      <c r="M423" s="566"/>
      <c r="N423" s="566"/>
      <c r="O423" s="566"/>
      <c r="P423" s="566"/>
      <c r="Q423" s="566"/>
      <c r="R423" s="566"/>
      <c r="S423" s="566"/>
      <c r="T423" s="566"/>
      <c r="U423" s="566"/>
      <c r="V423" s="566"/>
      <c r="W423" s="566"/>
    </row>
    <row r="424" spans="1:23" s="256" customFormat="1" ht="28.8">
      <c r="A424" s="728"/>
      <c r="B424" s="259" t="s">
        <v>622</v>
      </c>
      <c r="C424" s="255" t="s">
        <v>171</v>
      </c>
      <c r="D424" s="904">
        <f t="shared" ref="D424:I424" si="103">SUM(D425:D437)</f>
        <v>7200000</v>
      </c>
      <c r="E424" s="1511">
        <f t="shared" si="103"/>
        <v>7200000</v>
      </c>
      <c r="F424" s="1512">
        <f t="shared" si="103"/>
        <v>3600000</v>
      </c>
      <c r="G424" s="1736">
        <f t="shared" si="103"/>
        <v>3600000</v>
      </c>
      <c r="H424" s="1736">
        <f t="shared" si="103"/>
        <v>0</v>
      </c>
      <c r="I424" s="1736">
        <f t="shared" si="103"/>
        <v>3600000</v>
      </c>
      <c r="J424" s="720"/>
      <c r="K424" s="722"/>
      <c r="L424" s="722"/>
      <c r="M424" s="722"/>
      <c r="N424" s="722"/>
      <c r="O424" s="722"/>
      <c r="P424" s="722"/>
      <c r="Q424" s="722"/>
      <c r="R424" s="722"/>
      <c r="S424" s="722"/>
      <c r="T424" s="722"/>
      <c r="U424" s="722"/>
      <c r="V424" s="722"/>
      <c r="W424" s="722"/>
    </row>
    <row r="425" spans="1:23" s="155" customFormat="1" ht="14.4" hidden="1">
      <c r="A425" s="661"/>
      <c r="B425" s="205" t="s">
        <v>159</v>
      </c>
      <c r="C425" s="620"/>
      <c r="D425" s="905">
        <f t="shared" ref="D425:I437" si="104">D168</f>
        <v>0</v>
      </c>
      <c r="E425" s="1513">
        <f t="shared" si="104"/>
        <v>0</v>
      </c>
      <c r="F425" s="1514">
        <f t="shared" si="104"/>
        <v>0</v>
      </c>
      <c r="G425" s="1737">
        <f t="shared" si="104"/>
        <v>0</v>
      </c>
      <c r="H425" s="1737">
        <f t="shared" si="104"/>
        <v>0</v>
      </c>
      <c r="I425" s="1737">
        <f t="shared" si="104"/>
        <v>0</v>
      </c>
      <c r="J425" s="675"/>
      <c r="K425" s="566"/>
      <c r="L425" s="566"/>
      <c r="M425" s="566"/>
      <c r="N425" s="566"/>
      <c r="O425" s="566"/>
      <c r="P425" s="566"/>
      <c r="Q425" s="566"/>
      <c r="R425" s="566"/>
      <c r="S425" s="566"/>
      <c r="T425" s="566"/>
      <c r="U425" s="566"/>
      <c r="V425" s="566"/>
      <c r="W425" s="566"/>
    </row>
    <row r="426" spans="1:23" s="155" customFormat="1" ht="14.4" hidden="1">
      <c r="A426" s="661"/>
      <c r="B426" s="205" t="s">
        <v>150</v>
      </c>
      <c r="C426" s="620"/>
      <c r="D426" s="905">
        <f t="shared" si="104"/>
        <v>0</v>
      </c>
      <c r="E426" s="1513">
        <f t="shared" si="104"/>
        <v>0</v>
      </c>
      <c r="F426" s="1514">
        <f t="shared" si="104"/>
        <v>0</v>
      </c>
      <c r="G426" s="1737">
        <f t="shared" si="104"/>
        <v>0</v>
      </c>
      <c r="H426" s="1737">
        <f t="shared" si="104"/>
        <v>0</v>
      </c>
      <c r="I426" s="1737">
        <f t="shared" si="104"/>
        <v>0</v>
      </c>
      <c r="J426" s="675"/>
      <c r="K426" s="566"/>
      <c r="L426" s="566"/>
      <c r="M426" s="566"/>
      <c r="N426" s="566"/>
      <c r="O426" s="566"/>
      <c r="P426" s="566"/>
      <c r="Q426" s="566"/>
      <c r="R426" s="566"/>
      <c r="S426" s="566"/>
      <c r="T426" s="566"/>
      <c r="U426" s="566"/>
      <c r="V426" s="566"/>
      <c r="W426" s="566"/>
    </row>
    <row r="427" spans="1:23" s="155" customFormat="1" ht="14.4" hidden="1">
      <c r="A427" s="661"/>
      <c r="B427" s="205" t="s">
        <v>157</v>
      </c>
      <c r="C427" s="620"/>
      <c r="D427" s="905">
        <f t="shared" si="104"/>
        <v>0</v>
      </c>
      <c r="E427" s="1513">
        <f t="shared" si="104"/>
        <v>0</v>
      </c>
      <c r="F427" s="1514">
        <f t="shared" si="104"/>
        <v>0</v>
      </c>
      <c r="G427" s="1737">
        <f t="shared" si="104"/>
        <v>0</v>
      </c>
      <c r="H427" s="1737">
        <f t="shared" si="104"/>
        <v>0</v>
      </c>
      <c r="I427" s="1737">
        <f t="shared" si="104"/>
        <v>0</v>
      </c>
      <c r="J427" s="675"/>
      <c r="K427" s="566"/>
      <c r="L427" s="566"/>
      <c r="M427" s="566"/>
      <c r="N427" s="566"/>
      <c r="O427" s="566"/>
      <c r="P427" s="566"/>
      <c r="Q427" s="566"/>
      <c r="R427" s="566"/>
      <c r="S427" s="566"/>
      <c r="T427" s="566"/>
      <c r="U427" s="566"/>
      <c r="V427" s="566"/>
      <c r="W427" s="566"/>
    </row>
    <row r="428" spans="1:23" s="155" customFormat="1" ht="14.4" hidden="1">
      <c r="A428" s="661"/>
      <c r="B428" s="205" t="s">
        <v>158</v>
      </c>
      <c r="C428" s="620"/>
      <c r="D428" s="905">
        <f t="shared" si="104"/>
        <v>0</v>
      </c>
      <c r="E428" s="1513">
        <f t="shared" si="104"/>
        <v>0</v>
      </c>
      <c r="F428" s="1514">
        <f t="shared" si="104"/>
        <v>0</v>
      </c>
      <c r="G428" s="1737">
        <f t="shared" si="104"/>
        <v>0</v>
      </c>
      <c r="H428" s="1737">
        <f t="shared" si="104"/>
        <v>0</v>
      </c>
      <c r="I428" s="1737">
        <f t="shared" si="104"/>
        <v>0</v>
      </c>
      <c r="J428" s="675"/>
      <c r="K428" s="566"/>
      <c r="L428" s="566"/>
      <c r="M428" s="566"/>
      <c r="N428" s="566"/>
      <c r="O428" s="566"/>
      <c r="P428" s="566"/>
      <c r="Q428" s="566"/>
      <c r="R428" s="566"/>
      <c r="S428" s="566"/>
      <c r="T428" s="566"/>
      <c r="U428" s="566"/>
      <c r="V428" s="566"/>
      <c r="W428" s="566"/>
    </row>
    <row r="429" spans="1:23" s="155" customFormat="1" ht="14.4">
      <c r="A429" s="661"/>
      <c r="B429" s="205" t="s">
        <v>165</v>
      </c>
      <c r="C429" s="620"/>
      <c r="D429" s="905">
        <f t="shared" si="104"/>
        <v>0</v>
      </c>
      <c r="E429" s="1513">
        <f t="shared" si="104"/>
        <v>0</v>
      </c>
      <c r="F429" s="1514">
        <f t="shared" si="104"/>
        <v>300000</v>
      </c>
      <c r="G429" s="1737">
        <f t="shared" si="104"/>
        <v>300000</v>
      </c>
      <c r="H429" s="1737">
        <f t="shared" si="104"/>
        <v>0</v>
      </c>
      <c r="I429" s="1737">
        <f t="shared" si="104"/>
        <v>300000</v>
      </c>
      <c r="J429" s="675"/>
      <c r="K429" s="566"/>
      <c r="L429" s="566"/>
      <c r="M429" s="566"/>
      <c r="N429" s="566"/>
      <c r="O429" s="566"/>
      <c r="P429" s="566"/>
      <c r="Q429" s="566"/>
      <c r="R429" s="566"/>
      <c r="S429" s="566"/>
      <c r="T429" s="566"/>
      <c r="U429" s="566"/>
      <c r="V429" s="566"/>
      <c r="W429" s="566"/>
    </row>
    <row r="430" spans="1:23" s="155" customFormat="1" ht="14.4" hidden="1">
      <c r="A430" s="661"/>
      <c r="B430" s="205" t="s">
        <v>178</v>
      </c>
      <c r="C430" s="620"/>
      <c r="D430" s="905">
        <f t="shared" si="104"/>
        <v>0</v>
      </c>
      <c r="E430" s="1513">
        <f t="shared" si="104"/>
        <v>0</v>
      </c>
      <c r="F430" s="1514">
        <f t="shared" si="104"/>
        <v>0</v>
      </c>
      <c r="G430" s="1737">
        <f t="shared" si="104"/>
        <v>0</v>
      </c>
      <c r="H430" s="1737">
        <f t="shared" si="104"/>
        <v>0</v>
      </c>
      <c r="I430" s="1737">
        <f t="shared" si="104"/>
        <v>0</v>
      </c>
      <c r="J430" s="675"/>
      <c r="K430" s="566"/>
      <c r="L430" s="566"/>
      <c r="M430" s="566"/>
      <c r="N430" s="566"/>
      <c r="O430" s="566"/>
      <c r="P430" s="566"/>
      <c r="Q430" s="566"/>
      <c r="R430" s="566"/>
      <c r="S430" s="566"/>
      <c r="T430" s="566"/>
      <c r="U430" s="566"/>
      <c r="V430" s="566"/>
      <c r="W430" s="566"/>
    </row>
    <row r="431" spans="1:23" s="155" customFormat="1" ht="14.4" hidden="1">
      <c r="A431" s="661"/>
      <c r="B431" s="205" t="s">
        <v>163</v>
      </c>
      <c r="C431" s="620"/>
      <c r="D431" s="905">
        <f t="shared" si="104"/>
        <v>0</v>
      </c>
      <c r="E431" s="1513">
        <f t="shared" si="104"/>
        <v>0</v>
      </c>
      <c r="F431" s="1514">
        <f t="shared" si="104"/>
        <v>0</v>
      </c>
      <c r="G431" s="1737">
        <f t="shared" si="104"/>
        <v>0</v>
      </c>
      <c r="H431" s="1737">
        <f t="shared" si="104"/>
        <v>0</v>
      </c>
      <c r="I431" s="1737">
        <f t="shared" si="104"/>
        <v>0</v>
      </c>
      <c r="J431" s="675"/>
      <c r="K431" s="566"/>
      <c r="L431" s="566"/>
      <c r="M431" s="566"/>
      <c r="N431" s="566"/>
      <c r="O431" s="566"/>
      <c r="P431" s="566"/>
      <c r="Q431" s="566"/>
      <c r="R431" s="566"/>
      <c r="S431" s="566"/>
      <c r="T431" s="566"/>
      <c r="U431" s="566"/>
      <c r="V431" s="566"/>
      <c r="W431" s="566"/>
    </row>
    <row r="432" spans="1:23" s="155" customFormat="1" ht="14.4" hidden="1">
      <c r="A432" s="661"/>
      <c r="B432" s="205" t="s">
        <v>161</v>
      </c>
      <c r="C432" s="620"/>
      <c r="D432" s="905">
        <f t="shared" si="104"/>
        <v>0</v>
      </c>
      <c r="E432" s="1513">
        <f t="shared" si="104"/>
        <v>0</v>
      </c>
      <c r="F432" s="1514">
        <f t="shared" si="104"/>
        <v>0</v>
      </c>
      <c r="G432" s="1737">
        <f t="shared" si="104"/>
        <v>0</v>
      </c>
      <c r="H432" s="1737">
        <f t="shared" si="104"/>
        <v>0</v>
      </c>
      <c r="I432" s="1737">
        <f t="shared" si="104"/>
        <v>0</v>
      </c>
      <c r="J432" s="675"/>
      <c r="K432" s="566"/>
      <c r="L432" s="566"/>
      <c r="M432" s="566"/>
      <c r="N432" s="566"/>
      <c r="O432" s="566"/>
      <c r="P432" s="566"/>
      <c r="Q432" s="566"/>
      <c r="R432" s="566"/>
      <c r="S432" s="566"/>
      <c r="T432" s="566"/>
      <c r="U432" s="566"/>
      <c r="V432" s="566"/>
      <c r="W432" s="566"/>
    </row>
    <row r="433" spans="1:23" s="155" customFormat="1" ht="14.4" hidden="1">
      <c r="A433" s="661"/>
      <c r="B433" s="205" t="s">
        <v>167</v>
      </c>
      <c r="C433" s="620"/>
      <c r="D433" s="905">
        <f t="shared" si="104"/>
        <v>0</v>
      </c>
      <c r="E433" s="1513">
        <f t="shared" si="104"/>
        <v>0</v>
      </c>
      <c r="F433" s="1514">
        <f t="shared" si="104"/>
        <v>0</v>
      </c>
      <c r="G433" s="1737">
        <f t="shared" si="104"/>
        <v>0</v>
      </c>
      <c r="H433" s="1737">
        <f t="shared" si="104"/>
        <v>0</v>
      </c>
      <c r="I433" s="1737">
        <f t="shared" si="104"/>
        <v>0</v>
      </c>
      <c r="J433" s="675"/>
      <c r="K433" s="566"/>
      <c r="L433" s="566"/>
      <c r="M433" s="566"/>
      <c r="N433" s="566"/>
      <c r="O433" s="566"/>
      <c r="P433" s="566"/>
      <c r="Q433" s="566"/>
      <c r="R433" s="566"/>
      <c r="S433" s="566"/>
      <c r="T433" s="566"/>
      <c r="U433" s="566"/>
      <c r="V433" s="566"/>
      <c r="W433" s="566"/>
    </row>
    <row r="434" spans="1:23" s="155" customFormat="1" ht="14.4">
      <c r="A434" s="661"/>
      <c r="B434" s="205" t="s">
        <v>179</v>
      </c>
      <c r="C434" s="620"/>
      <c r="D434" s="905">
        <f t="shared" si="104"/>
        <v>1500000</v>
      </c>
      <c r="E434" s="1513">
        <f t="shared" si="104"/>
        <v>1500000</v>
      </c>
      <c r="F434" s="1514">
        <f t="shared" si="104"/>
        <v>1500000</v>
      </c>
      <c r="G434" s="1737">
        <f t="shared" si="104"/>
        <v>1500000</v>
      </c>
      <c r="H434" s="1737">
        <f t="shared" si="104"/>
        <v>0</v>
      </c>
      <c r="I434" s="1737">
        <f t="shared" si="104"/>
        <v>1500000</v>
      </c>
      <c r="J434" s="675"/>
      <c r="K434" s="566"/>
      <c r="L434" s="566"/>
      <c r="M434" s="566"/>
      <c r="N434" s="566"/>
      <c r="O434" s="566"/>
      <c r="P434" s="566"/>
      <c r="Q434" s="566"/>
      <c r="R434" s="566"/>
      <c r="S434" s="566"/>
      <c r="T434" s="566"/>
      <c r="U434" s="566"/>
      <c r="V434" s="566"/>
      <c r="W434" s="566"/>
    </row>
    <row r="435" spans="1:23" s="155" customFormat="1" ht="14.4" hidden="1">
      <c r="A435" s="661"/>
      <c r="B435" s="205" t="s">
        <v>180</v>
      </c>
      <c r="C435" s="620"/>
      <c r="D435" s="905">
        <f t="shared" si="104"/>
        <v>1200000</v>
      </c>
      <c r="E435" s="1513">
        <f t="shared" si="104"/>
        <v>1200000</v>
      </c>
      <c r="F435" s="1514">
        <f t="shared" si="104"/>
        <v>1800000</v>
      </c>
      <c r="G435" s="1737">
        <f t="shared" si="104"/>
        <v>1800000</v>
      </c>
      <c r="H435" s="1737">
        <f t="shared" si="104"/>
        <v>0</v>
      </c>
      <c r="I435" s="1737">
        <f t="shared" si="104"/>
        <v>1800000</v>
      </c>
      <c r="J435" s="675"/>
      <c r="K435" s="566"/>
      <c r="L435" s="566"/>
      <c r="M435" s="566"/>
      <c r="N435" s="566"/>
      <c r="O435" s="566"/>
      <c r="P435" s="566"/>
      <c r="Q435" s="566"/>
      <c r="R435" s="566"/>
      <c r="S435" s="566"/>
      <c r="T435" s="566"/>
      <c r="U435" s="566"/>
      <c r="V435" s="566"/>
      <c r="W435" s="566"/>
    </row>
    <row r="436" spans="1:23" s="155" customFormat="1" ht="14.4">
      <c r="A436" s="661"/>
      <c r="B436" s="205" t="s">
        <v>181</v>
      </c>
      <c r="C436" s="620"/>
      <c r="D436" s="905">
        <f t="shared" si="104"/>
        <v>4500000</v>
      </c>
      <c r="E436" s="1513">
        <f t="shared" si="104"/>
        <v>4500000</v>
      </c>
      <c r="F436" s="1514">
        <f t="shared" si="104"/>
        <v>0</v>
      </c>
      <c r="G436" s="1737">
        <f t="shared" si="104"/>
        <v>0</v>
      </c>
      <c r="H436" s="1737">
        <f t="shared" si="104"/>
        <v>0</v>
      </c>
      <c r="I436" s="1737">
        <f t="shared" si="104"/>
        <v>0</v>
      </c>
      <c r="J436" s="675"/>
      <c r="K436" s="566"/>
      <c r="L436" s="566"/>
      <c r="M436" s="566"/>
      <c r="N436" s="566"/>
      <c r="O436" s="566"/>
      <c r="P436" s="566"/>
      <c r="Q436" s="566"/>
      <c r="R436" s="566"/>
      <c r="S436" s="566"/>
      <c r="T436" s="566"/>
      <c r="U436" s="566"/>
      <c r="V436" s="566"/>
      <c r="W436" s="566"/>
    </row>
    <row r="437" spans="1:23" s="155" customFormat="1" ht="14.4" hidden="1">
      <c r="A437" s="661"/>
      <c r="B437" s="208" t="s">
        <v>182</v>
      </c>
      <c r="C437" s="620"/>
      <c r="D437" s="905">
        <f t="shared" si="104"/>
        <v>0</v>
      </c>
      <c r="E437" s="1513">
        <f t="shared" si="104"/>
        <v>0</v>
      </c>
      <c r="F437" s="1514">
        <f t="shared" si="104"/>
        <v>0</v>
      </c>
      <c r="G437" s="1737">
        <f t="shared" si="104"/>
        <v>0</v>
      </c>
      <c r="H437" s="1737">
        <f t="shared" si="104"/>
        <v>0</v>
      </c>
      <c r="I437" s="1737">
        <f t="shared" si="104"/>
        <v>0</v>
      </c>
      <c r="J437" s="675"/>
      <c r="K437" s="566"/>
      <c r="L437" s="566"/>
      <c r="M437" s="566"/>
      <c r="N437" s="566"/>
      <c r="O437" s="566"/>
      <c r="P437" s="566"/>
      <c r="Q437" s="566"/>
      <c r="R437" s="566"/>
      <c r="S437" s="566"/>
      <c r="T437" s="566"/>
      <c r="U437" s="566"/>
      <c r="V437" s="566"/>
      <c r="W437" s="566"/>
    </row>
    <row r="438" spans="1:23" s="155" customFormat="1" ht="14.4">
      <c r="A438" s="661"/>
      <c r="B438" s="665"/>
      <c r="C438" s="620"/>
      <c r="D438" s="906"/>
      <c r="E438" s="1451"/>
      <c r="F438" s="1452"/>
      <c r="G438" s="1701"/>
      <c r="H438" s="1701"/>
      <c r="I438" s="1701"/>
      <c r="J438" s="675"/>
      <c r="K438" s="566"/>
      <c r="L438" s="566"/>
      <c r="M438" s="566"/>
      <c r="N438" s="566"/>
      <c r="O438" s="566"/>
      <c r="P438" s="566"/>
      <c r="Q438" s="566"/>
      <c r="R438" s="566"/>
      <c r="S438" s="566"/>
      <c r="T438" s="566"/>
      <c r="U438" s="566"/>
      <c r="V438" s="566"/>
      <c r="W438" s="566"/>
    </row>
    <row r="439" spans="1:23" s="252" customFormat="1">
      <c r="A439" s="244" t="s">
        <v>18</v>
      </c>
      <c r="B439" s="245" t="s">
        <v>183</v>
      </c>
      <c r="C439" s="251" t="s">
        <v>81</v>
      </c>
      <c r="D439" s="902">
        <f t="shared" ref="D439:I439" si="105">SUM(D440,D455)</f>
        <v>5466000</v>
      </c>
      <c r="E439" s="1495">
        <f t="shared" si="105"/>
        <v>5366000</v>
      </c>
      <c r="F439" s="1496">
        <f t="shared" si="105"/>
        <v>6282000</v>
      </c>
      <c r="G439" s="1727">
        <f t="shared" si="105"/>
        <v>6282000</v>
      </c>
      <c r="H439" s="1727">
        <f t="shared" si="105"/>
        <v>0</v>
      </c>
      <c r="I439" s="1727">
        <f t="shared" si="105"/>
        <v>6282000</v>
      </c>
      <c r="J439" s="720"/>
      <c r="K439" s="721"/>
      <c r="L439" s="721"/>
      <c r="M439" s="721"/>
      <c r="N439" s="721"/>
      <c r="O439" s="721"/>
      <c r="P439" s="721"/>
      <c r="Q439" s="721"/>
      <c r="R439" s="721"/>
      <c r="S439" s="721"/>
      <c r="T439" s="721"/>
      <c r="U439" s="721"/>
      <c r="V439" s="721"/>
      <c r="W439" s="721"/>
    </row>
    <row r="440" spans="1:23" s="252" customFormat="1">
      <c r="A440" s="253" t="s">
        <v>20</v>
      </c>
      <c r="B440" s="257" t="s">
        <v>184</v>
      </c>
      <c r="C440" s="255" t="s">
        <v>185</v>
      </c>
      <c r="D440" s="904">
        <f t="shared" ref="D440:I440" si="106">SUM(D441:D442,D453)</f>
        <v>1750000</v>
      </c>
      <c r="E440" s="1511">
        <f t="shared" si="106"/>
        <v>1650000</v>
      </c>
      <c r="F440" s="1512">
        <f t="shared" si="106"/>
        <v>2500000</v>
      </c>
      <c r="G440" s="1736">
        <f t="shared" si="106"/>
        <v>2500000</v>
      </c>
      <c r="H440" s="1736">
        <f t="shared" si="106"/>
        <v>0</v>
      </c>
      <c r="I440" s="1736">
        <f t="shared" si="106"/>
        <v>2500000</v>
      </c>
      <c r="J440" s="720"/>
      <c r="K440" s="721"/>
      <c r="L440" s="721"/>
      <c r="M440" s="721"/>
      <c r="N440" s="721"/>
      <c r="O440" s="721"/>
      <c r="P440" s="721"/>
      <c r="Q440" s="721"/>
      <c r="R440" s="721"/>
      <c r="S440" s="721"/>
      <c r="T440" s="721"/>
      <c r="U440" s="721"/>
      <c r="V440" s="721"/>
      <c r="W440" s="721"/>
    </row>
    <row r="441" spans="1:23" s="210" customFormat="1" ht="43.2">
      <c r="A441" s="666"/>
      <c r="B441" s="207" t="s">
        <v>623</v>
      </c>
      <c r="C441" s="209" t="s">
        <v>185</v>
      </c>
      <c r="D441" s="907">
        <f t="shared" ref="D441:I441" si="107">D184</f>
        <v>1750000</v>
      </c>
      <c r="E441" s="1515">
        <f t="shared" si="107"/>
        <v>1650000</v>
      </c>
      <c r="F441" s="1516">
        <f t="shared" si="107"/>
        <v>2500000</v>
      </c>
      <c r="G441" s="1738">
        <f t="shared" si="107"/>
        <v>2500000</v>
      </c>
      <c r="H441" s="1738">
        <f t="shared" si="107"/>
        <v>0</v>
      </c>
      <c r="I441" s="1738">
        <f t="shared" si="107"/>
        <v>2500000</v>
      </c>
      <c r="J441" s="675"/>
      <c r="K441" s="576"/>
      <c r="L441" s="576"/>
      <c r="M441" s="576"/>
      <c r="N441" s="576"/>
      <c r="O441" s="576"/>
      <c r="P441" s="576"/>
      <c r="Q441" s="576"/>
      <c r="R441" s="576"/>
      <c r="S441" s="576"/>
      <c r="T441" s="576"/>
      <c r="U441" s="576"/>
      <c r="V441" s="576"/>
      <c r="W441" s="576"/>
    </row>
    <row r="442" spans="1:23" s="260" customFormat="1" ht="28.8">
      <c r="A442" s="724"/>
      <c r="B442" s="262" t="s">
        <v>622</v>
      </c>
      <c r="C442" s="255" t="s">
        <v>185</v>
      </c>
      <c r="D442" s="904">
        <f>SUM(D443:D451)</f>
        <v>0</v>
      </c>
      <c r="E442" s="1511">
        <f>SUM(E443:E451)</f>
        <v>0</v>
      </c>
      <c r="F442" s="1512">
        <f>SUM(F443:F451)</f>
        <v>0</v>
      </c>
      <c r="G442" s="1736">
        <f>SUM(G443:G451)</f>
        <v>0</v>
      </c>
      <c r="H442" s="1736">
        <f>SUM(H443:H452)</f>
        <v>0</v>
      </c>
      <c r="I442" s="1736">
        <f>SUM(I443:I452)</f>
        <v>0</v>
      </c>
      <c r="J442" s="720"/>
      <c r="K442" s="723"/>
      <c r="L442" s="723"/>
      <c r="M442" s="723"/>
      <c r="N442" s="723"/>
      <c r="O442" s="723"/>
      <c r="P442" s="723"/>
      <c r="Q442" s="723"/>
      <c r="R442" s="723"/>
      <c r="S442" s="723"/>
      <c r="T442" s="723"/>
      <c r="U442" s="723"/>
      <c r="V442" s="723"/>
      <c r="W442" s="723"/>
    </row>
    <row r="443" spans="1:23">
      <c r="A443" s="631"/>
      <c r="B443" s="205" t="s">
        <v>155</v>
      </c>
      <c r="C443" s="620"/>
      <c r="D443" s="775">
        <f t="shared" ref="D443:I454" si="108">D186</f>
        <v>0</v>
      </c>
      <c r="E443" s="1499">
        <f t="shared" si="108"/>
        <v>0</v>
      </c>
      <c r="F443" s="1500">
        <f t="shared" si="108"/>
        <v>0</v>
      </c>
      <c r="G443" s="1728">
        <f t="shared" si="108"/>
        <v>0</v>
      </c>
      <c r="H443" s="1728">
        <f t="shared" si="108"/>
        <v>0</v>
      </c>
      <c r="I443" s="1728">
        <f t="shared" si="108"/>
        <v>0</v>
      </c>
      <c r="J443" s="675"/>
      <c r="K443" s="550"/>
      <c r="L443" s="550"/>
      <c r="M443" s="550"/>
      <c r="N443" s="550"/>
      <c r="O443" s="550"/>
      <c r="P443" s="550"/>
      <c r="Q443" s="550"/>
      <c r="R443" s="550"/>
      <c r="S443" s="550"/>
      <c r="T443" s="550"/>
      <c r="U443" s="550"/>
      <c r="V443" s="550"/>
      <c r="W443" s="550"/>
    </row>
    <row r="444" spans="1:23">
      <c r="A444" s="631"/>
      <c r="B444" s="205" t="s">
        <v>153</v>
      </c>
      <c r="C444" s="620"/>
      <c r="D444" s="775">
        <f t="shared" si="108"/>
        <v>0</v>
      </c>
      <c r="E444" s="1499">
        <f t="shared" si="108"/>
        <v>0</v>
      </c>
      <c r="F444" s="1500">
        <f t="shared" si="108"/>
        <v>0</v>
      </c>
      <c r="G444" s="1728">
        <f t="shared" si="108"/>
        <v>0</v>
      </c>
      <c r="H444" s="1728">
        <f t="shared" si="108"/>
        <v>0</v>
      </c>
      <c r="I444" s="1728">
        <f t="shared" si="108"/>
        <v>0</v>
      </c>
      <c r="J444" s="675"/>
      <c r="K444" s="550"/>
      <c r="L444" s="550"/>
      <c r="M444" s="550"/>
      <c r="N444" s="550"/>
      <c r="O444" s="550"/>
      <c r="P444" s="550"/>
      <c r="Q444" s="550"/>
      <c r="R444" s="550"/>
      <c r="S444" s="550"/>
      <c r="T444" s="550"/>
      <c r="U444" s="550"/>
      <c r="V444" s="550"/>
      <c r="W444" s="550"/>
    </row>
    <row r="445" spans="1:23">
      <c r="A445" s="631"/>
      <c r="B445" s="205" t="s">
        <v>154</v>
      </c>
      <c r="C445" s="620"/>
      <c r="D445" s="775">
        <f t="shared" si="108"/>
        <v>0</v>
      </c>
      <c r="E445" s="1499">
        <f t="shared" si="108"/>
        <v>0</v>
      </c>
      <c r="F445" s="1500">
        <f t="shared" si="108"/>
        <v>0</v>
      </c>
      <c r="G445" s="1728">
        <f t="shared" si="108"/>
        <v>0</v>
      </c>
      <c r="H445" s="1728">
        <f t="shared" si="108"/>
        <v>0</v>
      </c>
      <c r="I445" s="1728">
        <f t="shared" si="108"/>
        <v>0</v>
      </c>
      <c r="J445" s="675"/>
      <c r="K445" s="550"/>
      <c r="L445" s="550"/>
      <c r="M445" s="550"/>
      <c r="N445" s="550"/>
      <c r="O445" s="550"/>
      <c r="P445" s="550"/>
      <c r="Q445" s="550"/>
      <c r="R445" s="550"/>
      <c r="S445" s="550"/>
      <c r="T445" s="550"/>
      <c r="U445" s="550"/>
      <c r="V445" s="550"/>
      <c r="W445" s="550"/>
    </row>
    <row r="446" spans="1:23">
      <c r="A446" s="631"/>
      <c r="B446" s="205" t="s">
        <v>186</v>
      </c>
      <c r="C446" s="620"/>
      <c r="D446" s="775">
        <f t="shared" si="108"/>
        <v>0</v>
      </c>
      <c r="E446" s="1499">
        <f t="shared" si="108"/>
        <v>0</v>
      </c>
      <c r="F446" s="1500">
        <f t="shared" si="108"/>
        <v>0</v>
      </c>
      <c r="G446" s="1728">
        <f t="shared" si="108"/>
        <v>0</v>
      </c>
      <c r="H446" s="1728">
        <f t="shared" si="108"/>
        <v>0</v>
      </c>
      <c r="I446" s="1728">
        <f t="shared" si="108"/>
        <v>0</v>
      </c>
      <c r="J446" s="675"/>
      <c r="K446" s="550"/>
      <c r="L446" s="550"/>
      <c r="M446" s="550"/>
      <c r="N446" s="550"/>
      <c r="O446" s="550"/>
      <c r="P446" s="550"/>
      <c r="Q446" s="550"/>
      <c r="R446" s="550"/>
      <c r="S446" s="550"/>
      <c r="T446" s="550"/>
      <c r="U446" s="550"/>
      <c r="V446" s="550"/>
      <c r="W446" s="550"/>
    </row>
    <row r="447" spans="1:23">
      <c r="A447" s="631"/>
      <c r="B447" s="205" t="s">
        <v>156</v>
      </c>
      <c r="C447" s="620"/>
      <c r="D447" s="775">
        <f t="shared" si="108"/>
        <v>0</v>
      </c>
      <c r="E447" s="1499">
        <f t="shared" si="108"/>
        <v>0</v>
      </c>
      <c r="F447" s="1500">
        <f t="shared" si="108"/>
        <v>0</v>
      </c>
      <c r="G447" s="1728">
        <f t="shared" si="108"/>
        <v>0</v>
      </c>
      <c r="H447" s="1728">
        <f t="shared" si="108"/>
        <v>0</v>
      </c>
      <c r="I447" s="1728">
        <f t="shared" si="108"/>
        <v>0</v>
      </c>
      <c r="J447" s="675"/>
      <c r="K447" s="550"/>
      <c r="L447" s="550"/>
      <c r="M447" s="550"/>
      <c r="N447" s="550"/>
      <c r="O447" s="550"/>
      <c r="P447" s="550"/>
      <c r="Q447" s="550"/>
      <c r="R447" s="550"/>
      <c r="S447" s="550"/>
      <c r="T447" s="550"/>
      <c r="U447" s="550"/>
      <c r="V447" s="550"/>
      <c r="W447" s="550"/>
    </row>
    <row r="448" spans="1:23">
      <c r="A448" s="631"/>
      <c r="B448" s="205" t="s">
        <v>165</v>
      </c>
      <c r="C448" s="620"/>
      <c r="D448" s="775">
        <f t="shared" si="108"/>
        <v>0</v>
      </c>
      <c r="E448" s="1499">
        <f t="shared" si="108"/>
        <v>0</v>
      </c>
      <c r="F448" s="1500">
        <f t="shared" si="108"/>
        <v>0</v>
      </c>
      <c r="G448" s="1728">
        <f t="shared" si="108"/>
        <v>0</v>
      </c>
      <c r="H448" s="1728">
        <f t="shared" si="108"/>
        <v>0</v>
      </c>
      <c r="I448" s="1728">
        <f t="shared" si="108"/>
        <v>0</v>
      </c>
      <c r="J448" s="675"/>
      <c r="K448" s="550"/>
      <c r="L448" s="550"/>
      <c r="M448" s="550"/>
      <c r="N448" s="550"/>
      <c r="O448" s="550"/>
      <c r="P448" s="550"/>
      <c r="Q448" s="550"/>
      <c r="R448" s="550"/>
      <c r="S448" s="550"/>
      <c r="T448" s="550"/>
      <c r="U448" s="550"/>
      <c r="V448" s="550"/>
      <c r="W448" s="550"/>
    </row>
    <row r="449" spans="1:23">
      <c r="A449" s="631"/>
      <c r="B449" s="205" t="s">
        <v>160</v>
      </c>
      <c r="C449" s="620"/>
      <c r="D449" s="775">
        <f t="shared" si="108"/>
        <v>0</v>
      </c>
      <c r="E449" s="1499">
        <f t="shared" si="108"/>
        <v>0</v>
      </c>
      <c r="F449" s="1500">
        <f t="shared" si="108"/>
        <v>0</v>
      </c>
      <c r="G449" s="1728">
        <f t="shared" si="108"/>
        <v>0</v>
      </c>
      <c r="H449" s="1728">
        <f t="shared" si="108"/>
        <v>0</v>
      </c>
      <c r="I449" s="1728">
        <f t="shared" si="108"/>
        <v>0</v>
      </c>
      <c r="J449" s="675"/>
      <c r="K449" s="550"/>
      <c r="L449" s="550"/>
      <c r="M449" s="550"/>
      <c r="N449" s="550"/>
      <c r="O449" s="550"/>
      <c r="P449" s="550"/>
      <c r="Q449" s="550"/>
      <c r="R449" s="550"/>
      <c r="S449" s="550"/>
      <c r="T449" s="550"/>
      <c r="U449" s="550"/>
      <c r="V449" s="550"/>
      <c r="W449" s="550"/>
    </row>
    <row r="450" spans="1:23">
      <c r="A450" s="631"/>
      <c r="B450" s="205" t="s">
        <v>187</v>
      </c>
      <c r="C450" s="620"/>
      <c r="D450" s="775">
        <f t="shared" si="108"/>
        <v>0</v>
      </c>
      <c r="E450" s="1499">
        <f t="shared" si="108"/>
        <v>0</v>
      </c>
      <c r="F450" s="1500">
        <f t="shared" si="108"/>
        <v>0</v>
      </c>
      <c r="G450" s="1728">
        <f t="shared" si="108"/>
        <v>0</v>
      </c>
      <c r="H450" s="1728">
        <f t="shared" si="108"/>
        <v>0</v>
      </c>
      <c r="I450" s="1728">
        <f t="shared" si="108"/>
        <v>0</v>
      </c>
      <c r="J450" s="675"/>
      <c r="K450" s="550"/>
      <c r="L450" s="550"/>
      <c r="M450" s="550"/>
      <c r="N450" s="550"/>
      <c r="O450" s="550"/>
      <c r="P450" s="550"/>
      <c r="Q450" s="550"/>
      <c r="R450" s="550"/>
      <c r="S450" s="550"/>
      <c r="T450" s="550"/>
      <c r="U450" s="550"/>
      <c r="V450" s="550"/>
      <c r="W450" s="550"/>
    </row>
    <row r="451" spans="1:23">
      <c r="A451" s="631"/>
      <c r="B451" s="205" t="s">
        <v>309</v>
      </c>
      <c r="C451" s="620"/>
      <c r="D451" s="775">
        <f t="shared" si="108"/>
        <v>0</v>
      </c>
      <c r="E451" s="1499">
        <f t="shared" si="108"/>
        <v>0</v>
      </c>
      <c r="F451" s="1500">
        <f t="shared" si="108"/>
        <v>0</v>
      </c>
      <c r="G451" s="1728">
        <f t="shared" si="108"/>
        <v>0</v>
      </c>
      <c r="H451" s="1728">
        <f t="shared" si="108"/>
        <v>0</v>
      </c>
      <c r="I451" s="1728">
        <f t="shared" si="108"/>
        <v>0</v>
      </c>
      <c r="J451" s="675"/>
      <c r="K451" s="550"/>
      <c r="L451" s="550"/>
      <c r="M451" s="550"/>
      <c r="N451" s="550"/>
      <c r="O451" s="550"/>
      <c r="P451" s="550"/>
      <c r="Q451" s="550"/>
      <c r="R451" s="550"/>
      <c r="S451" s="550"/>
      <c r="T451" s="550"/>
      <c r="U451" s="550"/>
      <c r="V451" s="550"/>
      <c r="W451" s="550"/>
    </row>
    <row r="452" spans="1:23">
      <c r="A452" s="631"/>
      <c r="B452" s="205" t="s">
        <v>181</v>
      </c>
      <c r="C452" s="620"/>
      <c r="D452" s="775">
        <f t="shared" si="108"/>
        <v>0</v>
      </c>
      <c r="E452" s="1499">
        <f t="shared" si="108"/>
        <v>0</v>
      </c>
      <c r="F452" s="1500">
        <f t="shared" si="108"/>
        <v>0</v>
      </c>
      <c r="G452" s="1728">
        <f t="shared" si="108"/>
        <v>0</v>
      </c>
      <c r="H452" s="1728">
        <f t="shared" si="108"/>
        <v>0</v>
      </c>
      <c r="I452" s="1728">
        <f t="shared" si="108"/>
        <v>0</v>
      </c>
      <c r="J452" s="675"/>
      <c r="K452" s="550"/>
      <c r="L452" s="550"/>
      <c r="M452" s="550"/>
      <c r="N452" s="550"/>
      <c r="O452" s="550"/>
      <c r="P452" s="550"/>
      <c r="Q452" s="550"/>
      <c r="R452" s="550"/>
      <c r="S452" s="550"/>
      <c r="T452" s="550"/>
      <c r="U452" s="550"/>
      <c r="V452" s="550"/>
      <c r="W452" s="550"/>
    </row>
    <row r="453" spans="1:23">
      <c r="A453" s="631"/>
      <c r="B453" s="212" t="s">
        <v>624</v>
      </c>
      <c r="C453" s="620"/>
      <c r="D453" s="775">
        <f t="shared" si="108"/>
        <v>0</v>
      </c>
      <c r="E453" s="1499">
        <f t="shared" si="108"/>
        <v>0</v>
      </c>
      <c r="F453" s="1500">
        <f t="shared" si="108"/>
        <v>0</v>
      </c>
      <c r="G453" s="1728">
        <f t="shared" si="108"/>
        <v>0</v>
      </c>
      <c r="H453" s="1728">
        <f t="shared" si="108"/>
        <v>0</v>
      </c>
      <c r="I453" s="1728">
        <f t="shared" si="108"/>
        <v>0</v>
      </c>
      <c r="J453" s="675"/>
      <c r="K453" s="550"/>
      <c r="L453" s="550"/>
      <c r="M453" s="550"/>
      <c r="N453" s="550"/>
      <c r="O453" s="550"/>
      <c r="P453" s="550"/>
      <c r="Q453" s="550"/>
      <c r="R453" s="550"/>
      <c r="S453" s="550"/>
      <c r="T453" s="550"/>
      <c r="U453" s="550"/>
      <c r="V453" s="550"/>
      <c r="W453" s="550"/>
    </row>
    <row r="454" spans="1:23">
      <c r="A454" s="631"/>
      <c r="B454" s="667"/>
      <c r="C454" s="620"/>
      <c r="D454" s="775">
        <f t="shared" si="108"/>
        <v>0</v>
      </c>
      <c r="E454" s="1499">
        <f t="shared" si="108"/>
        <v>0</v>
      </c>
      <c r="F454" s="1500">
        <f t="shared" si="108"/>
        <v>0</v>
      </c>
      <c r="G454" s="1728">
        <f t="shared" si="108"/>
        <v>0</v>
      </c>
      <c r="H454" s="1728">
        <f t="shared" si="108"/>
        <v>0</v>
      </c>
      <c r="I454" s="1728">
        <f t="shared" si="108"/>
        <v>0</v>
      </c>
      <c r="J454" s="675"/>
      <c r="K454" s="550"/>
      <c r="L454" s="550"/>
      <c r="M454" s="550"/>
      <c r="N454" s="550"/>
      <c r="O454" s="550"/>
      <c r="P454" s="550"/>
      <c r="Q454" s="550"/>
      <c r="R454" s="550"/>
      <c r="S454" s="550"/>
      <c r="T454" s="550"/>
      <c r="U454" s="550"/>
      <c r="V454" s="550"/>
      <c r="W454" s="550"/>
    </row>
    <row r="455" spans="1:23" s="252" customFormat="1">
      <c r="A455" s="253" t="s">
        <v>189</v>
      </c>
      <c r="B455" s="257" t="s">
        <v>190</v>
      </c>
      <c r="C455" s="255" t="s">
        <v>191</v>
      </c>
      <c r="D455" s="908">
        <f t="shared" ref="D455:I455" si="109">SUM(D456:D456)</f>
        <v>3716000</v>
      </c>
      <c r="E455" s="1517">
        <f t="shared" si="109"/>
        <v>3716000</v>
      </c>
      <c r="F455" s="1518">
        <f t="shared" si="109"/>
        <v>3782000</v>
      </c>
      <c r="G455" s="1739">
        <f t="shared" si="109"/>
        <v>3782000</v>
      </c>
      <c r="H455" s="1739">
        <f t="shared" si="109"/>
        <v>0</v>
      </c>
      <c r="I455" s="1739">
        <f t="shared" si="109"/>
        <v>3782000</v>
      </c>
      <c r="J455" s="720"/>
      <c r="K455" s="721"/>
      <c r="L455" s="721"/>
      <c r="M455" s="721"/>
      <c r="N455" s="721"/>
      <c r="O455" s="721"/>
      <c r="P455" s="721"/>
      <c r="Q455" s="721"/>
      <c r="R455" s="721"/>
      <c r="S455" s="721"/>
      <c r="T455" s="721"/>
      <c r="U455" s="721"/>
      <c r="V455" s="721"/>
      <c r="W455" s="721"/>
    </row>
    <row r="456" spans="1:23" s="183" customFormat="1">
      <c r="A456" s="628"/>
      <c r="B456" s="212" t="s">
        <v>192</v>
      </c>
      <c r="C456" s="161" t="s">
        <v>191</v>
      </c>
      <c r="D456" s="775">
        <f t="shared" ref="D456:I456" si="110">D199</f>
        <v>3716000</v>
      </c>
      <c r="E456" s="1499">
        <f t="shared" si="110"/>
        <v>3716000</v>
      </c>
      <c r="F456" s="1500">
        <f t="shared" si="110"/>
        <v>3782000</v>
      </c>
      <c r="G456" s="1728">
        <f t="shared" si="110"/>
        <v>3782000</v>
      </c>
      <c r="H456" s="1728">
        <f t="shared" si="110"/>
        <v>0</v>
      </c>
      <c r="I456" s="1728">
        <f t="shared" si="110"/>
        <v>3782000</v>
      </c>
      <c r="J456" s="675"/>
      <c r="K456" s="570"/>
      <c r="L456" s="570"/>
      <c r="M456" s="570"/>
      <c r="N456" s="570"/>
      <c r="O456" s="570"/>
      <c r="P456" s="570"/>
      <c r="Q456" s="570"/>
      <c r="R456" s="570"/>
      <c r="S456" s="570"/>
      <c r="T456" s="570"/>
      <c r="U456" s="570"/>
      <c r="V456" s="570"/>
      <c r="W456" s="570"/>
    </row>
    <row r="457" spans="1:23">
      <c r="A457" s="631"/>
      <c r="B457" s="668"/>
      <c r="C457" s="620"/>
      <c r="D457" s="906"/>
      <c r="E457" s="1451"/>
      <c r="F457" s="1452"/>
      <c r="G457" s="1701"/>
      <c r="H457" s="1701"/>
      <c r="I457" s="1701"/>
      <c r="J457" s="675"/>
      <c r="K457" s="550"/>
      <c r="L457" s="550"/>
      <c r="M457" s="550"/>
      <c r="N457" s="550"/>
      <c r="O457" s="550"/>
      <c r="P457" s="550"/>
      <c r="Q457" s="550"/>
      <c r="R457" s="550"/>
      <c r="S457" s="550"/>
      <c r="T457" s="550"/>
      <c r="U457" s="550"/>
      <c r="V457" s="550"/>
      <c r="W457" s="550"/>
    </row>
    <row r="458" spans="1:23" s="266" customFormat="1">
      <c r="A458" s="263" t="s">
        <v>22</v>
      </c>
      <c r="B458" s="264" t="s">
        <v>193</v>
      </c>
      <c r="C458" s="265" t="s">
        <v>81</v>
      </c>
      <c r="D458" s="909">
        <f t="shared" ref="D458:I458" si="111">SUM(D459)</f>
        <v>40800000</v>
      </c>
      <c r="E458" s="1519">
        <f t="shared" si="111"/>
        <v>28284000</v>
      </c>
      <c r="F458" s="1520">
        <f t="shared" si="111"/>
        <v>17000000</v>
      </c>
      <c r="G458" s="1740">
        <f t="shared" si="111"/>
        <v>0</v>
      </c>
      <c r="H458" s="1740">
        <f t="shared" si="111"/>
        <v>0</v>
      </c>
      <c r="I458" s="1740">
        <f t="shared" si="111"/>
        <v>0</v>
      </c>
      <c r="J458" s="720"/>
      <c r="K458" s="725"/>
      <c r="L458" s="725"/>
      <c r="M458" s="725"/>
      <c r="N458" s="725"/>
      <c r="O458" s="725"/>
      <c r="P458" s="725"/>
      <c r="Q458" s="725"/>
      <c r="R458" s="725"/>
      <c r="S458" s="725"/>
      <c r="T458" s="725"/>
      <c r="U458" s="725"/>
      <c r="V458" s="725"/>
      <c r="W458" s="725"/>
    </row>
    <row r="459" spans="1:23" s="269" customFormat="1" ht="14.4">
      <c r="A459" s="729"/>
      <c r="B459" s="267" t="s">
        <v>142</v>
      </c>
      <c r="C459" s="268" t="s">
        <v>81</v>
      </c>
      <c r="D459" s="910">
        <f t="shared" ref="D459:I459" si="112">SUM(D460:D461)</f>
        <v>40800000</v>
      </c>
      <c r="E459" s="1521">
        <f t="shared" si="112"/>
        <v>28284000</v>
      </c>
      <c r="F459" s="1522">
        <f t="shared" si="112"/>
        <v>17000000</v>
      </c>
      <c r="G459" s="1741">
        <f t="shared" si="112"/>
        <v>0</v>
      </c>
      <c r="H459" s="1741">
        <f t="shared" si="112"/>
        <v>0</v>
      </c>
      <c r="I459" s="1741">
        <f t="shared" si="112"/>
        <v>0</v>
      </c>
      <c r="J459" s="720"/>
      <c r="K459" s="726"/>
      <c r="L459" s="726"/>
      <c r="M459" s="726"/>
      <c r="N459" s="726"/>
      <c r="O459" s="726"/>
      <c r="P459" s="726"/>
      <c r="Q459" s="726"/>
      <c r="R459" s="726"/>
      <c r="S459" s="726"/>
      <c r="T459" s="726"/>
      <c r="U459" s="726"/>
      <c r="V459" s="726"/>
      <c r="W459" s="726"/>
    </row>
    <row r="460" spans="1:23" s="142" customFormat="1" ht="14.4">
      <c r="A460" s="661"/>
      <c r="B460" s="165" t="s">
        <v>194</v>
      </c>
      <c r="C460" s="161" t="s">
        <v>195</v>
      </c>
      <c r="D460" s="775">
        <f t="shared" ref="D460:I461" si="113">D203</f>
        <v>40800000</v>
      </c>
      <c r="E460" s="1499">
        <f t="shared" si="113"/>
        <v>28284000</v>
      </c>
      <c r="F460" s="1500">
        <f t="shared" si="113"/>
        <v>17000000</v>
      </c>
      <c r="G460" s="1728">
        <f t="shared" si="113"/>
        <v>0</v>
      </c>
      <c r="H460" s="1728">
        <f t="shared" si="113"/>
        <v>0</v>
      </c>
      <c r="I460" s="1728">
        <f t="shared" si="113"/>
        <v>0</v>
      </c>
      <c r="J460" s="675"/>
      <c r="K460" s="557"/>
      <c r="L460" s="557"/>
      <c r="M460" s="557"/>
      <c r="N460" s="557"/>
      <c r="O460" s="557"/>
      <c r="P460" s="557"/>
      <c r="Q460" s="557"/>
      <c r="R460" s="557"/>
      <c r="S460" s="557"/>
      <c r="T460" s="557"/>
      <c r="U460" s="557"/>
      <c r="V460" s="557"/>
      <c r="W460" s="557"/>
    </row>
    <row r="461" spans="1:23" s="142" customFormat="1" ht="14.4">
      <c r="A461" s="661"/>
      <c r="B461" s="165" t="s">
        <v>196</v>
      </c>
      <c r="C461" s="161" t="s">
        <v>197</v>
      </c>
      <c r="D461" s="775">
        <f t="shared" si="113"/>
        <v>0</v>
      </c>
      <c r="E461" s="1499">
        <f t="shared" si="113"/>
        <v>0</v>
      </c>
      <c r="F461" s="1500">
        <f t="shared" si="113"/>
        <v>0</v>
      </c>
      <c r="G461" s="1728">
        <f t="shared" si="113"/>
        <v>0</v>
      </c>
      <c r="H461" s="1728">
        <f t="shared" si="113"/>
        <v>0</v>
      </c>
      <c r="I461" s="1728">
        <f t="shared" si="113"/>
        <v>0</v>
      </c>
      <c r="J461" s="675"/>
      <c r="K461" s="557"/>
      <c r="L461" s="557"/>
      <c r="M461" s="557"/>
      <c r="N461" s="557"/>
      <c r="O461" s="557"/>
      <c r="P461" s="557"/>
      <c r="Q461" s="557"/>
      <c r="R461" s="557"/>
      <c r="S461" s="557"/>
      <c r="T461" s="557"/>
      <c r="U461" s="557"/>
      <c r="V461" s="557"/>
      <c r="W461" s="557"/>
    </row>
    <row r="462" spans="1:23" s="142" customFormat="1" ht="14.4">
      <c r="A462" s="2037"/>
      <c r="B462" s="165" t="str">
        <f t="shared" ref="B462:C466" si="114">B205</f>
        <v>Wynagrodzenia</v>
      </c>
      <c r="C462" s="161" t="str">
        <f t="shared" si="114"/>
        <v>4017</v>
      </c>
      <c r="D462" s="2043"/>
      <c r="E462" s="2044"/>
      <c r="F462" s="1500"/>
      <c r="G462" s="1728">
        <f t="shared" ref="G462:I466" si="115">G205</f>
        <v>244000</v>
      </c>
      <c r="H462" s="1728">
        <f t="shared" si="115"/>
        <v>0</v>
      </c>
      <c r="I462" s="1728">
        <f t="shared" si="115"/>
        <v>244000</v>
      </c>
      <c r="J462" s="675"/>
      <c r="K462" s="557"/>
      <c r="L462" s="557"/>
      <c r="M462" s="557"/>
      <c r="N462" s="557"/>
      <c r="O462" s="557"/>
      <c r="P462" s="557"/>
      <c r="Q462" s="557"/>
      <c r="R462" s="557"/>
      <c r="S462" s="557"/>
      <c r="T462" s="557"/>
      <c r="U462" s="557"/>
      <c r="V462" s="557"/>
      <c r="W462" s="557"/>
    </row>
    <row r="463" spans="1:23" s="142" customFormat="1" ht="14.4">
      <c r="A463" s="2037"/>
      <c r="B463" s="165" t="str">
        <f t="shared" si="114"/>
        <v>Składki na ubezpieczenia społeczne</v>
      </c>
      <c r="C463" s="161" t="str">
        <f t="shared" si="114"/>
        <v>4117</v>
      </c>
      <c r="D463" s="2043"/>
      <c r="E463" s="2044"/>
      <c r="F463" s="1500"/>
      <c r="G463" s="1728">
        <f t="shared" si="115"/>
        <v>41000</v>
      </c>
      <c r="H463" s="1728">
        <f t="shared" si="115"/>
        <v>0</v>
      </c>
      <c r="I463" s="1728">
        <f t="shared" si="115"/>
        <v>41000</v>
      </c>
      <c r="J463" s="675"/>
      <c r="K463" s="557"/>
      <c r="L463" s="557"/>
      <c r="M463" s="557"/>
      <c r="N463" s="557"/>
      <c r="O463" s="557"/>
      <c r="P463" s="557"/>
      <c r="Q463" s="557"/>
      <c r="R463" s="557"/>
      <c r="S463" s="557"/>
      <c r="T463" s="557"/>
      <c r="U463" s="557"/>
      <c r="V463" s="557"/>
      <c r="W463" s="557"/>
    </row>
    <row r="464" spans="1:23" s="142" customFormat="1" ht="14.4">
      <c r="A464" s="2037"/>
      <c r="B464" s="165" t="str">
        <f t="shared" si="114"/>
        <v>Składki na Fundusz Pracy</v>
      </c>
      <c r="C464" s="161" t="str">
        <f t="shared" si="114"/>
        <v>4127</v>
      </c>
      <c r="D464" s="2043"/>
      <c r="E464" s="2044"/>
      <c r="F464" s="1500"/>
      <c r="G464" s="1728">
        <f t="shared" si="115"/>
        <v>7000</v>
      </c>
      <c r="H464" s="1728">
        <f t="shared" si="115"/>
        <v>0</v>
      </c>
      <c r="I464" s="1728">
        <f t="shared" si="115"/>
        <v>7000</v>
      </c>
      <c r="J464" s="675"/>
      <c r="K464" s="557"/>
      <c r="L464" s="557"/>
      <c r="M464" s="557"/>
      <c r="N464" s="557"/>
      <c r="O464" s="557"/>
      <c r="P464" s="557"/>
      <c r="Q464" s="557"/>
      <c r="R464" s="557"/>
      <c r="S464" s="557"/>
      <c r="T464" s="557"/>
      <c r="U464" s="557"/>
      <c r="V464" s="557"/>
      <c r="W464" s="557"/>
    </row>
    <row r="465" spans="1:23" s="142" customFormat="1" ht="14.4">
      <c r="A465" s="2037"/>
      <c r="B465" s="165" t="str">
        <f t="shared" si="114"/>
        <v>Wynagrodzenia bezosobowe</v>
      </c>
      <c r="C465" s="161" t="str">
        <f t="shared" si="114"/>
        <v>4177</v>
      </c>
      <c r="D465" s="2043"/>
      <c r="E465" s="2044"/>
      <c r="F465" s="1500"/>
      <c r="G465" s="1728">
        <f t="shared" si="115"/>
        <v>0</v>
      </c>
      <c r="H465" s="1728">
        <f t="shared" si="115"/>
        <v>0</v>
      </c>
      <c r="I465" s="1728">
        <f t="shared" si="115"/>
        <v>0</v>
      </c>
      <c r="J465" s="675"/>
      <c r="K465" s="557"/>
      <c r="L465" s="557"/>
      <c r="M465" s="557"/>
      <c r="N465" s="557"/>
      <c r="O465" s="557"/>
      <c r="P465" s="557"/>
      <c r="Q465" s="557"/>
      <c r="R465" s="557"/>
      <c r="S465" s="557"/>
      <c r="T465" s="557"/>
      <c r="U465" s="557"/>
      <c r="V465" s="557"/>
      <c r="W465" s="557"/>
    </row>
    <row r="466" spans="1:23" s="269" customFormat="1" ht="14.4">
      <c r="A466" s="729"/>
      <c r="B466" s="267" t="str">
        <f t="shared" si="114"/>
        <v>Pozostałe</v>
      </c>
      <c r="C466" s="268" t="str">
        <f t="shared" si="114"/>
        <v>x</v>
      </c>
      <c r="D466" s="910"/>
      <c r="E466" s="1521"/>
      <c r="F466" s="1522"/>
      <c r="G466" s="1741">
        <f t="shared" si="115"/>
        <v>56000</v>
      </c>
      <c r="H466" s="1741">
        <f t="shared" si="115"/>
        <v>0</v>
      </c>
      <c r="I466" s="1741">
        <f t="shared" si="115"/>
        <v>56000</v>
      </c>
      <c r="J466" s="720"/>
      <c r="K466" s="726"/>
      <c r="L466" s="726"/>
      <c r="M466" s="726"/>
      <c r="N466" s="726"/>
      <c r="O466" s="726"/>
      <c r="P466" s="726"/>
      <c r="Q466" s="726"/>
      <c r="R466" s="726"/>
      <c r="S466" s="726"/>
      <c r="T466" s="726"/>
      <c r="U466" s="726"/>
      <c r="V466" s="726"/>
      <c r="W466" s="726"/>
    </row>
    <row r="467" spans="1:23" s="142" customFormat="1" ht="14.4">
      <c r="A467" s="2037"/>
      <c r="B467" s="165" t="str">
        <f t="shared" ref="B467:C470" si="116">B211</f>
        <v>- zakup materiałów i wyposażenia</v>
      </c>
      <c r="C467" s="161" t="str">
        <f t="shared" si="116"/>
        <v>4217</v>
      </c>
      <c r="D467" s="2043"/>
      <c r="E467" s="2044"/>
      <c r="F467" s="1500"/>
      <c r="G467" s="1728">
        <f t="shared" ref="G467:I470" si="117">G211</f>
        <v>0</v>
      </c>
      <c r="H467" s="1728">
        <f t="shared" si="117"/>
        <v>0</v>
      </c>
      <c r="I467" s="1728">
        <f t="shared" si="117"/>
        <v>0</v>
      </c>
      <c r="J467" s="675"/>
      <c r="K467" s="557"/>
      <c r="L467" s="557"/>
      <c r="M467" s="557"/>
      <c r="N467" s="557"/>
      <c r="O467" s="557"/>
      <c r="P467" s="557"/>
      <c r="Q467" s="557"/>
      <c r="R467" s="557"/>
      <c r="S467" s="557"/>
      <c r="T467" s="557"/>
      <c r="U467" s="557"/>
      <c r="V467" s="557"/>
      <c r="W467" s="557"/>
    </row>
    <row r="468" spans="1:23" s="142" customFormat="1" ht="14.4">
      <c r="A468" s="2037"/>
      <c r="B468" s="165" t="str">
        <f t="shared" si="116"/>
        <v>- zakup usług pozostałych</v>
      </c>
      <c r="C468" s="161" t="str">
        <f t="shared" si="116"/>
        <v>4307</v>
      </c>
      <c r="D468" s="2043"/>
      <c r="E468" s="2044"/>
      <c r="F468" s="1500"/>
      <c r="G468" s="1728">
        <f t="shared" si="117"/>
        <v>56000</v>
      </c>
      <c r="H468" s="1728">
        <f t="shared" si="117"/>
        <v>0</v>
      </c>
      <c r="I468" s="1728">
        <f t="shared" si="117"/>
        <v>56000</v>
      </c>
      <c r="J468" s="675"/>
      <c r="K468" s="557"/>
      <c r="L468" s="557"/>
      <c r="M468" s="557"/>
      <c r="N468" s="557"/>
      <c r="O468" s="557"/>
      <c r="P468" s="557"/>
      <c r="Q468" s="557"/>
      <c r="R468" s="557"/>
      <c r="S468" s="557"/>
      <c r="T468" s="557"/>
      <c r="U468" s="557"/>
      <c r="V468" s="557"/>
      <c r="W468" s="557"/>
    </row>
    <row r="469" spans="1:23" s="142" customFormat="1" ht="14.4">
      <c r="A469" s="2037"/>
      <c r="B469" s="165" t="str">
        <f t="shared" si="116"/>
        <v>- zakup usług obejmujących tłumaczenia</v>
      </c>
      <c r="C469" s="161" t="str">
        <f t="shared" si="116"/>
        <v>4387</v>
      </c>
      <c r="D469" s="2043"/>
      <c r="E469" s="2044"/>
      <c r="F469" s="1500"/>
      <c r="G469" s="1728">
        <f t="shared" si="117"/>
        <v>0</v>
      </c>
      <c r="H469" s="1728">
        <f t="shared" si="117"/>
        <v>0</v>
      </c>
      <c r="I469" s="1728">
        <f t="shared" si="117"/>
        <v>0</v>
      </c>
      <c r="J469" s="675"/>
      <c r="K469" s="557"/>
      <c r="L469" s="557"/>
      <c r="M469" s="557"/>
      <c r="N469" s="557"/>
      <c r="O469" s="557"/>
      <c r="P469" s="557"/>
      <c r="Q469" s="557"/>
      <c r="R469" s="557"/>
      <c r="S469" s="557"/>
      <c r="T469" s="557"/>
      <c r="U469" s="557"/>
      <c r="V469" s="557"/>
      <c r="W469" s="557"/>
    </row>
    <row r="470" spans="1:23" s="142" customFormat="1" ht="14.4">
      <c r="A470" s="2037"/>
      <c r="B470" s="165" t="str">
        <f t="shared" si="116"/>
        <v>- czynsz</v>
      </c>
      <c r="C470" s="161" t="str">
        <f t="shared" si="116"/>
        <v>4407</v>
      </c>
      <c r="D470" s="2043"/>
      <c r="E470" s="2044"/>
      <c r="F470" s="1500"/>
      <c r="G470" s="1728">
        <f t="shared" si="117"/>
        <v>0</v>
      </c>
      <c r="H470" s="1728">
        <f t="shared" si="117"/>
        <v>0</v>
      </c>
      <c r="I470" s="1728">
        <f t="shared" si="117"/>
        <v>0</v>
      </c>
      <c r="J470" s="675"/>
      <c r="K470" s="557"/>
      <c r="L470" s="557"/>
      <c r="M470" s="557"/>
      <c r="N470" s="557"/>
      <c r="O470" s="557"/>
      <c r="P470" s="557"/>
      <c r="Q470" s="557"/>
      <c r="R470" s="557"/>
      <c r="S470" s="557"/>
      <c r="T470" s="557"/>
      <c r="U470" s="557"/>
      <c r="V470" s="557"/>
      <c r="W470" s="557"/>
    </row>
    <row r="471" spans="1:23" s="142" customFormat="1" ht="14.4">
      <c r="A471" s="2037"/>
      <c r="B471" s="165" t="str">
        <f t="shared" ref="B471:C473" si="118">B216</f>
        <v>- podróże służbowe krajowe</v>
      </c>
      <c r="C471" s="161" t="str">
        <f t="shared" si="118"/>
        <v>4417</v>
      </c>
      <c r="D471" s="2043"/>
      <c r="E471" s="2044"/>
      <c r="F471" s="1500"/>
      <c r="G471" s="1728">
        <f t="shared" ref="G471:I473" si="119">G216</f>
        <v>0</v>
      </c>
      <c r="H471" s="1728">
        <f t="shared" si="119"/>
        <v>0</v>
      </c>
      <c r="I471" s="1728">
        <f t="shared" si="119"/>
        <v>0</v>
      </c>
      <c r="J471" s="675"/>
      <c r="K471" s="557"/>
      <c r="L471" s="557"/>
      <c r="M471" s="557"/>
      <c r="N471" s="557"/>
      <c r="O471" s="557"/>
      <c r="P471" s="557"/>
      <c r="Q471" s="557"/>
      <c r="R471" s="557"/>
      <c r="S471" s="557"/>
      <c r="T471" s="557"/>
      <c r="U471" s="557"/>
      <c r="V471" s="557"/>
      <c r="W471" s="557"/>
    </row>
    <row r="472" spans="1:23" s="142" customFormat="1" ht="14.4">
      <c r="A472" s="2037"/>
      <c r="B472" s="165" t="str">
        <f t="shared" si="118"/>
        <v>- podróże służbowe zagraniczne</v>
      </c>
      <c r="C472" s="161" t="str">
        <f t="shared" si="118"/>
        <v>4427</v>
      </c>
      <c r="D472" s="2043"/>
      <c r="E472" s="2044"/>
      <c r="F472" s="1500"/>
      <c r="G472" s="1728">
        <f t="shared" si="119"/>
        <v>0</v>
      </c>
      <c r="H472" s="1728">
        <f t="shared" si="119"/>
        <v>0</v>
      </c>
      <c r="I472" s="1728">
        <f t="shared" si="119"/>
        <v>0</v>
      </c>
      <c r="J472" s="675"/>
      <c r="K472" s="557"/>
      <c r="L472" s="557"/>
      <c r="M472" s="557"/>
      <c r="N472" s="557"/>
      <c r="O472" s="557"/>
      <c r="P472" s="557"/>
      <c r="Q472" s="557"/>
      <c r="R472" s="557"/>
      <c r="S472" s="557"/>
      <c r="T472" s="557"/>
      <c r="U472" s="557"/>
      <c r="V472" s="557"/>
      <c r="W472" s="557"/>
    </row>
    <row r="473" spans="1:23" s="142" customFormat="1" ht="14.4">
      <c r="A473" s="2037"/>
      <c r="B473" s="165" t="str">
        <f t="shared" si="118"/>
        <v>- amortyzacja majątku trwałego</v>
      </c>
      <c r="C473" s="161" t="str">
        <f t="shared" si="118"/>
        <v>4727</v>
      </c>
      <c r="D473" s="2043"/>
      <c r="E473" s="2044"/>
      <c r="F473" s="1500"/>
      <c r="G473" s="1728">
        <f t="shared" si="119"/>
        <v>0</v>
      </c>
      <c r="H473" s="1728">
        <f t="shared" si="119"/>
        <v>0</v>
      </c>
      <c r="I473" s="1728">
        <f t="shared" si="119"/>
        <v>0</v>
      </c>
      <c r="J473" s="675"/>
      <c r="K473" s="557"/>
      <c r="L473" s="557"/>
      <c r="M473" s="557"/>
      <c r="N473" s="557"/>
      <c r="O473" s="557"/>
      <c r="P473" s="557"/>
      <c r="Q473" s="557"/>
      <c r="R473" s="557"/>
      <c r="S473" s="557"/>
      <c r="T473" s="557"/>
      <c r="U473" s="557"/>
      <c r="V473" s="557"/>
      <c r="W473" s="557"/>
    </row>
    <row r="474" spans="1:23" s="142" customFormat="1" ht="14.4">
      <c r="A474" s="2037"/>
      <c r="B474" s="165" t="e">
        <f>#REF!</f>
        <v>#REF!</v>
      </c>
      <c r="C474" s="161" t="e">
        <f>#REF!</f>
        <v>#REF!</v>
      </c>
      <c r="D474" s="2043"/>
      <c r="E474" s="2044"/>
      <c r="F474" s="1500"/>
      <c r="G474" s="1728" t="e">
        <f>#REF!</f>
        <v>#REF!</v>
      </c>
      <c r="H474" s="1728" t="e">
        <f>#REF!</f>
        <v>#REF!</v>
      </c>
      <c r="I474" s="1728" t="e">
        <f>#REF!</f>
        <v>#REF!</v>
      </c>
      <c r="J474" s="675"/>
      <c r="K474" s="557"/>
      <c r="L474" s="557"/>
      <c r="M474" s="557"/>
      <c r="N474" s="557"/>
      <c r="O474" s="557"/>
      <c r="P474" s="557"/>
      <c r="Q474" s="557"/>
      <c r="R474" s="557"/>
      <c r="S474" s="557"/>
      <c r="T474" s="557"/>
      <c r="U474" s="557"/>
      <c r="V474" s="557"/>
      <c r="W474" s="557"/>
    </row>
    <row r="475" spans="1:23" s="142" customFormat="1" ht="14.4">
      <c r="A475" s="2037"/>
      <c r="B475" s="165" t="str">
        <f t="shared" ref="B475:C478" si="120">B219</f>
        <v>Zakupy inwestycyjne (własne)</v>
      </c>
      <c r="C475" s="161" t="str">
        <f t="shared" si="120"/>
        <v>6127</v>
      </c>
      <c r="D475" s="2043"/>
      <c r="E475" s="2044"/>
      <c r="F475" s="1500"/>
      <c r="G475" s="1728">
        <f t="shared" ref="G475:I478" si="121">G219</f>
        <v>0</v>
      </c>
      <c r="H475" s="1728">
        <f t="shared" si="121"/>
        <v>0</v>
      </c>
      <c r="I475" s="1728">
        <f t="shared" si="121"/>
        <v>0</v>
      </c>
      <c r="J475" s="675"/>
      <c r="K475" s="557"/>
      <c r="L475" s="557"/>
      <c r="M475" s="557"/>
      <c r="N475" s="557"/>
      <c r="O475" s="557"/>
      <c r="P475" s="557"/>
      <c r="Q475" s="557"/>
      <c r="R475" s="557"/>
      <c r="S475" s="557"/>
      <c r="T475" s="557"/>
      <c r="U475" s="557"/>
      <c r="V475" s="557"/>
      <c r="W475" s="557"/>
    </row>
    <row r="476" spans="1:23" s="269" customFormat="1" ht="14.4">
      <c r="A476" s="729"/>
      <c r="B476" s="267" t="str">
        <f t="shared" si="120"/>
        <v>Dotacje inwestycyjne</v>
      </c>
      <c r="C476" s="268" t="str">
        <f t="shared" si="120"/>
        <v>x</v>
      </c>
      <c r="D476" s="910"/>
      <c r="E476" s="1521"/>
      <c r="F476" s="1522"/>
      <c r="G476" s="1741">
        <f t="shared" si="121"/>
        <v>0</v>
      </c>
      <c r="H476" s="1741">
        <f t="shared" si="121"/>
        <v>0</v>
      </c>
      <c r="I476" s="1741">
        <f t="shared" si="121"/>
        <v>0</v>
      </c>
      <c r="J476" s="720"/>
      <c r="K476" s="726"/>
      <c r="L476" s="726"/>
      <c r="M476" s="726"/>
      <c r="N476" s="726"/>
      <c r="O476" s="726"/>
      <c r="P476" s="726"/>
      <c r="Q476" s="726"/>
      <c r="R476" s="726"/>
      <c r="S476" s="726"/>
      <c r="T476" s="726"/>
      <c r="U476" s="726"/>
      <c r="V476" s="726"/>
      <c r="W476" s="726"/>
    </row>
    <row r="477" spans="1:23" s="142" customFormat="1" ht="14.4">
      <c r="A477" s="2037"/>
      <c r="B477" s="165" t="str">
        <f t="shared" si="120"/>
        <v>-dla sektora finansów publicznych</v>
      </c>
      <c r="C477" s="161" t="str">
        <f t="shared" si="120"/>
        <v>6267</v>
      </c>
      <c r="D477" s="2043"/>
      <c r="E477" s="2044"/>
      <c r="F477" s="1500"/>
      <c r="G477" s="1728">
        <f t="shared" si="121"/>
        <v>0</v>
      </c>
      <c r="H477" s="1728">
        <f t="shared" si="121"/>
        <v>0</v>
      </c>
      <c r="I477" s="1728">
        <f t="shared" si="121"/>
        <v>0</v>
      </c>
      <c r="J477" s="675"/>
      <c r="K477" s="557"/>
      <c r="L477" s="557"/>
      <c r="M477" s="557"/>
      <c r="N477" s="557"/>
      <c r="O477" s="557"/>
      <c r="P477" s="557"/>
      <c r="Q477" s="557"/>
      <c r="R477" s="557"/>
      <c r="S477" s="557"/>
      <c r="T477" s="557"/>
      <c r="U477" s="557"/>
      <c r="V477" s="557"/>
      <c r="W477" s="557"/>
    </row>
    <row r="478" spans="1:23" s="142" customFormat="1" ht="14.4">
      <c r="A478" s="2037"/>
      <c r="B478" s="165" t="str">
        <f t="shared" si="120"/>
        <v>-dla jednostek niezaliczanych do sektora finansów publicznych</v>
      </c>
      <c r="C478" s="161" t="str">
        <f t="shared" si="120"/>
        <v>6277</v>
      </c>
      <c r="D478" s="2043"/>
      <c r="E478" s="2044"/>
      <c r="F478" s="1500"/>
      <c r="G478" s="1728">
        <f t="shared" si="121"/>
        <v>0</v>
      </c>
      <c r="H478" s="1728">
        <f t="shared" si="121"/>
        <v>0</v>
      </c>
      <c r="I478" s="1728">
        <f t="shared" si="121"/>
        <v>0</v>
      </c>
      <c r="J478" s="675"/>
      <c r="K478" s="557"/>
      <c r="L478" s="557"/>
      <c r="M478" s="557"/>
      <c r="N478" s="557"/>
      <c r="O478" s="557"/>
      <c r="P478" s="557"/>
      <c r="Q478" s="557"/>
      <c r="R478" s="557"/>
      <c r="S478" s="557"/>
      <c r="T478" s="557"/>
      <c r="U478" s="557"/>
      <c r="V478" s="557"/>
      <c r="W478" s="557"/>
    </row>
    <row r="479" spans="1:23">
      <c r="A479" s="631"/>
      <c r="B479" s="670"/>
      <c r="C479" s="620"/>
      <c r="D479" s="906"/>
      <c r="E479" s="1451"/>
      <c r="F479" s="1452"/>
      <c r="G479" s="1701"/>
      <c r="H479" s="1701"/>
      <c r="I479" s="1701"/>
      <c r="J479" s="675"/>
      <c r="K479" s="550"/>
      <c r="L479" s="550"/>
      <c r="M479" s="550"/>
      <c r="N479" s="550"/>
      <c r="O479" s="550"/>
      <c r="P479" s="550"/>
      <c r="Q479" s="550"/>
      <c r="R479" s="550"/>
      <c r="S479" s="550"/>
      <c r="T479" s="550"/>
      <c r="U479" s="550"/>
      <c r="V479" s="550"/>
      <c r="W479" s="550"/>
    </row>
    <row r="480" spans="1:23" s="252" customFormat="1">
      <c r="A480" s="253" t="s">
        <v>24</v>
      </c>
      <c r="B480" s="264" t="s">
        <v>198</v>
      </c>
      <c r="C480" s="255" t="s">
        <v>81</v>
      </c>
      <c r="D480" s="904">
        <f t="shared" ref="D480:I480" si="122">SUM(D482,D487,D490,D485,D493,D528)</f>
        <v>120257000</v>
      </c>
      <c r="E480" s="1511">
        <f t="shared" si="122"/>
        <v>90622000</v>
      </c>
      <c r="F480" s="1512">
        <f t="shared" si="122"/>
        <v>105861726</v>
      </c>
      <c r="G480" s="1736">
        <f t="shared" si="122"/>
        <v>129893000</v>
      </c>
      <c r="H480" s="1736">
        <f t="shared" si="122"/>
        <v>0</v>
      </c>
      <c r="I480" s="1736">
        <f t="shared" si="122"/>
        <v>129893000</v>
      </c>
      <c r="J480" s="720"/>
      <c r="K480" s="721"/>
      <c r="L480" s="721"/>
      <c r="M480" s="721"/>
      <c r="N480" s="721"/>
      <c r="O480" s="721"/>
      <c r="P480" s="721"/>
      <c r="Q480" s="721"/>
      <c r="R480" s="721"/>
      <c r="S480" s="721"/>
      <c r="T480" s="721"/>
      <c r="U480" s="721"/>
      <c r="V480" s="721"/>
      <c r="W480" s="721"/>
    </row>
    <row r="481" spans="1:23" s="252" customFormat="1">
      <c r="A481" s="253" t="s">
        <v>87</v>
      </c>
      <c r="B481" s="257" t="s">
        <v>199</v>
      </c>
      <c r="C481" s="255" t="s">
        <v>81</v>
      </c>
      <c r="D481" s="904">
        <f t="shared" ref="D481:I481" si="123">SUM(D482,D485)</f>
        <v>53482000</v>
      </c>
      <c r="E481" s="1511">
        <f t="shared" si="123"/>
        <v>53482000</v>
      </c>
      <c r="F481" s="1512">
        <f t="shared" si="123"/>
        <v>63502000</v>
      </c>
      <c r="G481" s="1736">
        <f t="shared" si="123"/>
        <v>58754000</v>
      </c>
      <c r="H481" s="1736">
        <f t="shared" si="123"/>
        <v>0</v>
      </c>
      <c r="I481" s="1736">
        <f t="shared" si="123"/>
        <v>58754000</v>
      </c>
      <c r="J481" s="720"/>
      <c r="K481" s="721"/>
      <c r="L481" s="721"/>
      <c r="M481" s="721"/>
      <c r="N481" s="721"/>
      <c r="O481" s="721"/>
      <c r="P481" s="721"/>
      <c r="Q481" s="721"/>
      <c r="R481" s="721"/>
      <c r="S481" s="721"/>
      <c r="T481" s="721"/>
      <c r="U481" s="721"/>
      <c r="V481" s="721"/>
      <c r="W481" s="721"/>
    </row>
    <row r="482" spans="1:23" s="252" customFormat="1">
      <c r="A482" s="253" t="s">
        <v>200</v>
      </c>
      <c r="B482" s="257" t="s">
        <v>201</v>
      </c>
      <c r="C482" s="255" t="s">
        <v>81</v>
      </c>
      <c r="D482" s="904">
        <f t="shared" ref="D482:I482" si="124">SUM(D483:D484)</f>
        <v>52282000</v>
      </c>
      <c r="E482" s="1511">
        <f t="shared" si="124"/>
        <v>52282000</v>
      </c>
      <c r="F482" s="1511">
        <f t="shared" si="124"/>
        <v>62282000</v>
      </c>
      <c r="G482" s="1742">
        <f t="shared" si="124"/>
        <v>57554000</v>
      </c>
      <c r="H482" s="1742">
        <f t="shared" si="124"/>
        <v>0</v>
      </c>
      <c r="I482" s="1742">
        <f t="shared" si="124"/>
        <v>57554000</v>
      </c>
      <c r="J482" s="720"/>
      <c r="K482" s="721"/>
      <c r="L482" s="721"/>
      <c r="M482" s="721"/>
      <c r="N482" s="721"/>
      <c r="O482" s="721"/>
      <c r="P482" s="721"/>
      <c r="Q482" s="721"/>
      <c r="R482" s="721"/>
      <c r="S482" s="721"/>
      <c r="T482" s="721"/>
      <c r="U482" s="721"/>
      <c r="V482" s="721"/>
      <c r="W482" s="721"/>
    </row>
    <row r="483" spans="1:23">
      <c r="A483" s="631"/>
      <c r="B483" s="165" t="s">
        <v>145</v>
      </c>
      <c r="C483" s="161" t="s">
        <v>202</v>
      </c>
      <c r="D483" s="911">
        <f t="shared" ref="D483:I484" si="125">D226</f>
        <v>52282000</v>
      </c>
      <c r="E483" s="1523">
        <f t="shared" si="125"/>
        <v>52190000</v>
      </c>
      <c r="F483" s="1524">
        <f t="shared" si="125"/>
        <v>62282000</v>
      </c>
      <c r="G483" s="1743">
        <f t="shared" si="125"/>
        <v>57510000</v>
      </c>
      <c r="H483" s="1743">
        <f t="shared" si="125"/>
        <v>0</v>
      </c>
      <c r="I483" s="1743">
        <f t="shared" si="125"/>
        <v>57510000</v>
      </c>
      <c r="J483" s="675"/>
      <c r="K483" s="675"/>
      <c r="L483" s="550"/>
      <c r="M483" s="550"/>
      <c r="N483" s="550"/>
      <c r="O483" s="550"/>
      <c r="P483" s="550"/>
      <c r="Q483" s="550"/>
      <c r="R483" s="550"/>
      <c r="S483" s="550"/>
      <c r="T483" s="550"/>
      <c r="U483" s="550"/>
      <c r="V483" s="550"/>
      <c r="W483" s="550"/>
    </row>
    <row r="484" spans="1:23">
      <c r="A484" s="631"/>
      <c r="B484" s="165"/>
      <c r="C484" s="161" t="s">
        <v>1044</v>
      </c>
      <c r="D484" s="911">
        <f t="shared" si="125"/>
        <v>0</v>
      </c>
      <c r="E484" s="1523">
        <f t="shared" si="125"/>
        <v>92000</v>
      </c>
      <c r="F484" s="1524">
        <f t="shared" si="125"/>
        <v>0</v>
      </c>
      <c r="G484" s="1743">
        <f t="shared" si="125"/>
        <v>44000</v>
      </c>
      <c r="H484" s="1743">
        <f t="shared" si="125"/>
        <v>0</v>
      </c>
      <c r="I484" s="1743">
        <f t="shared" si="125"/>
        <v>44000</v>
      </c>
      <c r="J484" s="675"/>
      <c r="K484" s="675"/>
      <c r="L484" s="550"/>
      <c r="M484" s="550"/>
      <c r="N484" s="550"/>
      <c r="O484" s="550"/>
      <c r="P484" s="550"/>
      <c r="Q484" s="550"/>
      <c r="R484" s="550"/>
      <c r="S484" s="550"/>
      <c r="T484" s="550"/>
      <c r="U484" s="550"/>
      <c r="V484" s="550"/>
      <c r="W484" s="550"/>
    </row>
    <row r="485" spans="1:23" s="252" customFormat="1">
      <c r="A485" s="253" t="s">
        <v>203</v>
      </c>
      <c r="B485" s="257" t="s">
        <v>204</v>
      </c>
      <c r="C485" s="255" t="s">
        <v>81</v>
      </c>
      <c r="D485" s="912">
        <f t="shared" ref="D485:I485" si="126">SUM(D486)</f>
        <v>1200000</v>
      </c>
      <c r="E485" s="1525">
        <f t="shared" si="126"/>
        <v>1200000</v>
      </c>
      <c r="F485" s="1526">
        <f t="shared" si="126"/>
        <v>1220000</v>
      </c>
      <c r="G485" s="1744">
        <f t="shared" si="126"/>
        <v>1200000</v>
      </c>
      <c r="H485" s="1744">
        <f t="shared" si="126"/>
        <v>0</v>
      </c>
      <c r="I485" s="1744">
        <f t="shared" si="126"/>
        <v>1200000</v>
      </c>
      <c r="J485" s="720"/>
      <c r="K485" s="721"/>
      <c r="L485" s="721"/>
      <c r="M485" s="721"/>
      <c r="N485" s="721"/>
      <c r="O485" s="721"/>
      <c r="P485" s="721"/>
      <c r="Q485" s="721"/>
      <c r="R485" s="721"/>
      <c r="S485" s="721"/>
      <c r="T485" s="721"/>
      <c r="U485" s="721"/>
      <c r="V485" s="721"/>
      <c r="W485" s="721"/>
    </row>
    <row r="486" spans="1:23">
      <c r="A486" s="631"/>
      <c r="B486" s="165" t="s">
        <v>145</v>
      </c>
      <c r="C486" s="161" t="s">
        <v>205</v>
      </c>
      <c r="D486" s="913">
        <f t="shared" ref="D486:I486" si="127">D229</f>
        <v>1200000</v>
      </c>
      <c r="E486" s="1527">
        <f t="shared" si="127"/>
        <v>1200000</v>
      </c>
      <c r="F486" s="1528">
        <f t="shared" si="127"/>
        <v>1220000</v>
      </c>
      <c r="G486" s="1745">
        <f t="shared" si="127"/>
        <v>1200000</v>
      </c>
      <c r="H486" s="1745">
        <f t="shared" si="127"/>
        <v>0</v>
      </c>
      <c r="I486" s="1745">
        <f t="shared" si="127"/>
        <v>1200000</v>
      </c>
      <c r="J486" s="675"/>
      <c r="K486" s="675"/>
      <c r="L486" s="640"/>
      <c r="M486" s="640"/>
      <c r="N486" s="640"/>
      <c r="O486" s="640"/>
      <c r="P486" s="550"/>
      <c r="Q486" s="550"/>
      <c r="R486" s="550"/>
      <c r="S486" s="550"/>
      <c r="T486" s="550"/>
      <c r="U486" s="550"/>
      <c r="V486" s="550"/>
      <c r="W486" s="550"/>
    </row>
    <row r="487" spans="1:23" s="252" customFormat="1">
      <c r="A487" s="253" t="s">
        <v>206</v>
      </c>
      <c r="B487" s="257" t="s">
        <v>207</v>
      </c>
      <c r="C487" s="255" t="s">
        <v>81</v>
      </c>
      <c r="D487" s="912">
        <f t="shared" ref="D487:I487" si="128">SUM(D488:D489)</f>
        <v>9392000</v>
      </c>
      <c r="E487" s="1525">
        <f t="shared" si="128"/>
        <v>9392000</v>
      </c>
      <c r="F487" s="1526">
        <f t="shared" si="128"/>
        <v>11866000</v>
      </c>
      <c r="G487" s="1744">
        <f t="shared" si="128"/>
        <v>11100000</v>
      </c>
      <c r="H487" s="1744">
        <f t="shared" si="128"/>
        <v>0</v>
      </c>
      <c r="I487" s="1744">
        <f t="shared" si="128"/>
        <v>11100000</v>
      </c>
      <c r="J487" s="720"/>
      <c r="K487" s="721"/>
      <c r="L487" s="721"/>
      <c r="M487" s="721"/>
      <c r="N487" s="721"/>
      <c r="O487" s="721"/>
      <c r="P487" s="721"/>
      <c r="Q487" s="721"/>
      <c r="R487" s="721"/>
      <c r="S487" s="721"/>
      <c r="T487" s="721"/>
      <c r="U487" s="721"/>
      <c r="V487" s="721"/>
      <c r="W487" s="721"/>
    </row>
    <row r="488" spans="1:23">
      <c r="A488" s="631"/>
      <c r="B488" s="165" t="s">
        <v>145</v>
      </c>
      <c r="C488" s="161" t="s">
        <v>208</v>
      </c>
      <c r="D488" s="913">
        <f t="shared" ref="D488:I489" si="129">D231</f>
        <v>9392000</v>
      </c>
      <c r="E488" s="1527">
        <f t="shared" si="129"/>
        <v>9362000</v>
      </c>
      <c r="F488" s="1528">
        <f t="shared" si="129"/>
        <v>11866000</v>
      </c>
      <c r="G488" s="1745">
        <f t="shared" si="129"/>
        <v>11092000</v>
      </c>
      <c r="H488" s="1745">
        <f t="shared" si="129"/>
        <v>0</v>
      </c>
      <c r="I488" s="1745">
        <f t="shared" si="129"/>
        <v>11092000</v>
      </c>
      <c r="J488" s="675"/>
      <c r="K488" s="675"/>
      <c r="L488" s="550"/>
      <c r="M488" s="550"/>
      <c r="N488" s="550"/>
      <c r="O488" s="550"/>
      <c r="P488" s="550"/>
      <c r="Q488" s="550"/>
      <c r="R488" s="550"/>
      <c r="S488" s="550"/>
      <c r="T488" s="550"/>
      <c r="U488" s="550"/>
      <c r="V488" s="550"/>
      <c r="W488" s="550"/>
    </row>
    <row r="489" spans="1:23">
      <c r="A489" s="631"/>
      <c r="B489" s="165"/>
      <c r="C489" s="161" t="s">
        <v>1045</v>
      </c>
      <c r="D489" s="913">
        <f t="shared" si="129"/>
        <v>0</v>
      </c>
      <c r="E489" s="1527">
        <f t="shared" si="129"/>
        <v>30000</v>
      </c>
      <c r="F489" s="1528">
        <f t="shared" si="129"/>
        <v>0</v>
      </c>
      <c r="G489" s="1745">
        <f t="shared" si="129"/>
        <v>8000</v>
      </c>
      <c r="H489" s="1745">
        <f t="shared" si="129"/>
        <v>0</v>
      </c>
      <c r="I489" s="1745">
        <f t="shared" si="129"/>
        <v>8000</v>
      </c>
      <c r="J489" s="675"/>
      <c r="K489" s="675"/>
      <c r="L489" s="550"/>
      <c r="M489" s="550"/>
      <c r="N489" s="550"/>
      <c r="O489" s="550"/>
      <c r="P489" s="550"/>
      <c r="Q489" s="550"/>
      <c r="R489" s="550"/>
      <c r="S489" s="550"/>
      <c r="T489" s="550"/>
      <c r="U489" s="550"/>
      <c r="V489" s="550"/>
      <c r="W489" s="550"/>
    </row>
    <row r="490" spans="1:23" s="252" customFormat="1">
      <c r="A490" s="253" t="s">
        <v>209</v>
      </c>
      <c r="B490" s="257" t="s">
        <v>210</v>
      </c>
      <c r="C490" s="255" t="s">
        <v>81</v>
      </c>
      <c r="D490" s="912">
        <f t="shared" ref="D490:I490" si="130">SUM(D491:D492)</f>
        <v>1311000</v>
      </c>
      <c r="E490" s="1525">
        <f t="shared" si="130"/>
        <v>1311000</v>
      </c>
      <c r="F490" s="1526">
        <f t="shared" si="130"/>
        <v>1660000</v>
      </c>
      <c r="G490" s="1744">
        <f t="shared" si="130"/>
        <v>1544000</v>
      </c>
      <c r="H490" s="1744">
        <f t="shared" si="130"/>
        <v>0</v>
      </c>
      <c r="I490" s="1744">
        <f t="shared" si="130"/>
        <v>1544000</v>
      </c>
      <c r="J490" s="720"/>
      <c r="K490" s="721"/>
      <c r="L490" s="721"/>
      <c r="M490" s="721"/>
      <c r="N490" s="721"/>
      <c r="O490" s="721"/>
      <c r="P490" s="721"/>
      <c r="Q490" s="721"/>
      <c r="R490" s="721"/>
      <c r="S490" s="721"/>
      <c r="T490" s="721"/>
      <c r="U490" s="721"/>
      <c r="V490" s="721"/>
      <c r="W490" s="721"/>
    </row>
    <row r="491" spans="1:23" ht="15" customHeight="1">
      <c r="A491" s="631"/>
      <c r="B491" s="165" t="s">
        <v>145</v>
      </c>
      <c r="C491" s="161" t="s">
        <v>211</v>
      </c>
      <c r="D491" s="913">
        <f t="shared" ref="D491:I492" si="131">D234</f>
        <v>1311000</v>
      </c>
      <c r="E491" s="1527">
        <f t="shared" si="131"/>
        <v>1293000</v>
      </c>
      <c r="F491" s="1528">
        <f t="shared" si="131"/>
        <v>1660000</v>
      </c>
      <c r="G491" s="1745">
        <f t="shared" si="131"/>
        <v>1543000</v>
      </c>
      <c r="H491" s="1745">
        <f t="shared" si="131"/>
        <v>0</v>
      </c>
      <c r="I491" s="1745">
        <f t="shared" si="131"/>
        <v>1543000</v>
      </c>
      <c r="J491" s="675"/>
      <c r="K491" s="675"/>
      <c r="L491" s="641"/>
      <c r="M491" s="641"/>
      <c r="N491" s="641"/>
      <c r="O491" s="641"/>
      <c r="P491" s="550"/>
      <c r="Q491" s="550"/>
      <c r="R491" s="550"/>
      <c r="S491" s="550"/>
      <c r="T491" s="550"/>
      <c r="U491" s="550"/>
      <c r="V491" s="550"/>
      <c r="W491" s="550"/>
    </row>
    <row r="492" spans="1:23" ht="15" customHeight="1">
      <c r="A492" s="631"/>
      <c r="B492" s="165"/>
      <c r="C492" s="161" t="s">
        <v>1046</v>
      </c>
      <c r="D492" s="913">
        <f t="shared" si="131"/>
        <v>0</v>
      </c>
      <c r="E492" s="1527">
        <f t="shared" si="131"/>
        <v>18000</v>
      </c>
      <c r="F492" s="1528">
        <f t="shared" si="131"/>
        <v>0</v>
      </c>
      <c r="G492" s="1745">
        <f t="shared" si="131"/>
        <v>1000</v>
      </c>
      <c r="H492" s="1745">
        <f t="shared" si="131"/>
        <v>0</v>
      </c>
      <c r="I492" s="1745">
        <f t="shared" si="131"/>
        <v>1000</v>
      </c>
      <c r="J492" s="675"/>
      <c r="K492" s="675"/>
      <c r="L492" s="641"/>
      <c r="M492" s="641"/>
      <c r="N492" s="641"/>
      <c r="O492" s="641"/>
      <c r="P492" s="550"/>
      <c r="Q492" s="550"/>
      <c r="R492" s="550"/>
      <c r="S492" s="550"/>
      <c r="T492" s="550"/>
      <c r="U492" s="550"/>
      <c r="V492" s="550"/>
      <c r="W492" s="550"/>
    </row>
    <row r="493" spans="1:23" s="252" customFormat="1">
      <c r="A493" s="253" t="s">
        <v>212</v>
      </c>
      <c r="B493" s="257" t="s">
        <v>213</v>
      </c>
      <c r="C493" s="255" t="s">
        <v>81</v>
      </c>
      <c r="D493" s="904">
        <f>SUM(D494:D494)</f>
        <v>56072000</v>
      </c>
      <c r="E493" s="1511">
        <f>SUM(E494:E494)</f>
        <v>26437000</v>
      </c>
      <c r="F493" s="1512">
        <f>SUM(F494:F494)</f>
        <v>28833726</v>
      </c>
      <c r="G493" s="1736">
        <f>SUM(G494:G495)</f>
        <v>58495000</v>
      </c>
      <c r="H493" s="1736">
        <f>SUM(H494:H495)</f>
        <v>0</v>
      </c>
      <c r="I493" s="1736">
        <f>SUM(I494:I495)</f>
        <v>58495000</v>
      </c>
      <c r="J493" s="720"/>
      <c r="K493" s="721"/>
      <c r="L493" s="721"/>
      <c r="M493" s="721"/>
      <c r="N493" s="721"/>
      <c r="O493" s="721"/>
      <c r="P493" s="721"/>
      <c r="Q493" s="721"/>
      <c r="R493" s="721"/>
      <c r="S493" s="721"/>
      <c r="T493" s="721"/>
      <c r="U493" s="721"/>
      <c r="V493" s="721"/>
      <c r="W493" s="721"/>
    </row>
    <row r="494" spans="1:23" s="252" customFormat="1">
      <c r="A494" s="728"/>
      <c r="B494" s="257" t="s">
        <v>145</v>
      </c>
      <c r="C494" s="255" t="s">
        <v>81</v>
      </c>
      <c r="D494" s="904">
        <f t="shared" ref="D494:I494" si="132">SUM(D497,D509)</f>
        <v>56072000</v>
      </c>
      <c r="E494" s="1511">
        <f t="shared" si="132"/>
        <v>26437000</v>
      </c>
      <c r="F494" s="1512">
        <f t="shared" si="132"/>
        <v>28833726</v>
      </c>
      <c r="G494" s="1736">
        <f t="shared" si="132"/>
        <v>58485000</v>
      </c>
      <c r="H494" s="1736">
        <f t="shared" si="132"/>
        <v>0</v>
      </c>
      <c r="I494" s="1736">
        <f t="shared" si="132"/>
        <v>58485000</v>
      </c>
      <c r="J494" s="720"/>
      <c r="K494" s="721"/>
      <c r="L494" s="721"/>
      <c r="M494" s="721"/>
      <c r="N494" s="721"/>
      <c r="O494" s="721"/>
      <c r="P494" s="721"/>
      <c r="Q494" s="721"/>
      <c r="R494" s="721"/>
      <c r="S494" s="721"/>
      <c r="T494" s="721"/>
      <c r="U494" s="721"/>
      <c r="V494" s="721"/>
      <c r="W494" s="721"/>
    </row>
    <row r="495" spans="1:23" s="2054" customFormat="1">
      <c r="A495" s="2055"/>
      <c r="B495" s="2047" t="s">
        <v>1123</v>
      </c>
      <c r="C495" s="2048"/>
      <c r="D495" s="2049"/>
      <c r="E495" s="2050"/>
      <c r="F495" s="2056"/>
      <c r="G495" s="2057">
        <f>G504</f>
        <v>10000</v>
      </c>
      <c r="H495" s="2057">
        <f>H504</f>
        <v>0</v>
      </c>
      <c r="I495" s="2057">
        <f>I504</f>
        <v>10000</v>
      </c>
      <c r="J495" s="720"/>
      <c r="K495" s="2053"/>
      <c r="L495" s="2053"/>
      <c r="M495" s="2053"/>
      <c r="N495" s="2053"/>
      <c r="O495" s="2053"/>
      <c r="P495" s="2053"/>
      <c r="Q495" s="2053"/>
      <c r="R495" s="2053"/>
      <c r="S495" s="2053"/>
      <c r="T495" s="2053"/>
      <c r="U495" s="2053"/>
      <c r="V495" s="2053"/>
      <c r="W495" s="2053"/>
    </row>
    <row r="496" spans="1:23">
      <c r="A496" s="631"/>
      <c r="B496" s="181" t="s">
        <v>82</v>
      </c>
      <c r="C496" s="620"/>
      <c r="D496" s="914"/>
      <c r="E496" s="1449"/>
      <c r="F496" s="1450"/>
      <c r="G496" s="1700"/>
      <c r="H496" s="1700"/>
      <c r="I496" s="1700"/>
      <c r="J496" s="675"/>
      <c r="K496" s="675"/>
      <c r="L496" s="550"/>
      <c r="M496" s="550"/>
      <c r="N496" s="550"/>
      <c r="O496" s="550"/>
      <c r="P496" s="550"/>
      <c r="Q496" s="550"/>
      <c r="R496" s="550"/>
      <c r="S496" s="550"/>
      <c r="T496" s="550"/>
      <c r="U496" s="550"/>
      <c r="V496" s="550"/>
      <c r="W496" s="550"/>
    </row>
    <row r="497" spans="1:23" s="252" customFormat="1">
      <c r="A497" s="253" t="s">
        <v>214</v>
      </c>
      <c r="B497" s="257" t="s">
        <v>215</v>
      </c>
      <c r="C497" s="255" t="s">
        <v>216</v>
      </c>
      <c r="D497" s="904">
        <f>SUM(D499:D508)</f>
        <v>47189000</v>
      </c>
      <c r="E497" s="1511">
        <f>SUM(E499:E502)+E505+E506+E507+E508</f>
        <v>17554000</v>
      </c>
      <c r="F497" s="1511">
        <f>SUM(F499:F502)+F505+F506+F507+F508</f>
        <v>17687000</v>
      </c>
      <c r="G497" s="1742">
        <f>SUM(G499:G503)+G505+G506+G507+G508</f>
        <v>47338000</v>
      </c>
      <c r="H497" s="1742">
        <f>SUM(H499:H503)+H505+H506+H507+H508</f>
        <v>0</v>
      </c>
      <c r="I497" s="1742">
        <f>SUM(I499:I503)+I505+I506+I507+I508</f>
        <v>47338000</v>
      </c>
      <c r="J497" s="720"/>
      <c r="K497" s="721"/>
      <c r="L497" s="721"/>
      <c r="M497" s="721"/>
      <c r="N497" s="721"/>
      <c r="O497" s="721"/>
      <c r="P497" s="721"/>
      <c r="Q497" s="721"/>
      <c r="R497" s="721"/>
      <c r="S497" s="721"/>
      <c r="T497" s="721"/>
      <c r="U497" s="721"/>
      <c r="V497" s="721"/>
      <c r="W497" s="721"/>
    </row>
    <row r="498" spans="1:23" s="2054" customFormat="1">
      <c r="A498" s="2046"/>
      <c r="B498" s="2047"/>
      <c r="C498" s="2048"/>
      <c r="D498" s="2049"/>
      <c r="E498" s="2050"/>
      <c r="F498" s="2051"/>
      <c r="G498" s="2052">
        <f>G504</f>
        <v>10000</v>
      </c>
      <c r="H498" s="2052">
        <f>H504</f>
        <v>0</v>
      </c>
      <c r="I498" s="2052">
        <f>I504</f>
        <v>10000</v>
      </c>
      <c r="J498" s="720"/>
      <c r="K498" s="2053"/>
      <c r="L498" s="2053"/>
      <c r="M498" s="2053"/>
      <c r="N498" s="2053"/>
      <c r="O498" s="2053"/>
      <c r="P498" s="2053"/>
      <c r="Q498" s="2053"/>
      <c r="R498" s="2053"/>
      <c r="S498" s="2053"/>
      <c r="T498" s="2053"/>
      <c r="U498" s="2053"/>
      <c r="V498" s="2053"/>
      <c r="W498" s="2053"/>
    </row>
    <row r="499" spans="1:23">
      <c r="A499" s="631"/>
      <c r="B499" s="208" t="s">
        <v>217</v>
      </c>
      <c r="C499" s="161" t="s">
        <v>218</v>
      </c>
      <c r="D499" s="915">
        <f t="shared" ref="D499:I508" si="133">D242</f>
        <v>3225000</v>
      </c>
      <c r="E499" s="1407">
        <f t="shared" si="133"/>
        <v>4205000</v>
      </c>
      <c r="F499" s="1408">
        <f t="shared" si="133"/>
        <v>4170000</v>
      </c>
      <c r="G499" s="757">
        <f t="shared" si="133"/>
        <v>4189000</v>
      </c>
      <c r="H499" s="757">
        <f t="shared" si="133"/>
        <v>0</v>
      </c>
      <c r="I499" s="757">
        <f t="shared" si="133"/>
        <v>4189000</v>
      </c>
      <c r="J499" s="675"/>
      <c r="K499" s="675"/>
      <c r="L499" s="550"/>
      <c r="M499" s="550"/>
      <c r="N499" s="550"/>
      <c r="O499" s="550"/>
      <c r="P499" s="550"/>
      <c r="Q499" s="550"/>
      <c r="R499" s="550"/>
      <c r="S499" s="550"/>
      <c r="T499" s="550"/>
      <c r="U499" s="550"/>
      <c r="V499" s="550"/>
      <c r="W499" s="550"/>
    </row>
    <row r="500" spans="1:23">
      <c r="A500" s="631"/>
      <c r="B500" s="208" t="s">
        <v>219</v>
      </c>
      <c r="C500" s="161" t="s">
        <v>220</v>
      </c>
      <c r="D500" s="915">
        <f t="shared" si="133"/>
        <v>1612000</v>
      </c>
      <c r="E500" s="1407">
        <f t="shared" si="133"/>
        <v>1612000</v>
      </c>
      <c r="F500" s="1408">
        <f t="shared" si="133"/>
        <v>1630000</v>
      </c>
      <c r="G500" s="757">
        <f t="shared" si="133"/>
        <v>1630000</v>
      </c>
      <c r="H500" s="757">
        <f t="shared" si="133"/>
        <v>0</v>
      </c>
      <c r="I500" s="757">
        <f t="shared" si="133"/>
        <v>1630000</v>
      </c>
      <c r="J500" s="675"/>
      <c r="K500" s="675"/>
      <c r="L500" s="550"/>
      <c r="M500" s="589"/>
      <c r="N500" s="550"/>
      <c r="O500" s="589"/>
      <c r="P500" s="550"/>
      <c r="Q500" s="550"/>
      <c r="R500" s="550"/>
      <c r="S500" s="550"/>
      <c r="T500" s="550"/>
      <c r="U500" s="550"/>
      <c r="V500" s="550"/>
      <c r="W500" s="550"/>
    </row>
    <row r="501" spans="1:23">
      <c r="A501" s="631"/>
      <c r="B501" s="208" t="s">
        <v>63</v>
      </c>
      <c r="C501" s="161" t="s">
        <v>221</v>
      </c>
      <c r="D501" s="915">
        <f t="shared" si="133"/>
        <v>1616000</v>
      </c>
      <c r="E501" s="1407">
        <f t="shared" si="133"/>
        <v>1596000</v>
      </c>
      <c r="F501" s="1408">
        <f t="shared" si="133"/>
        <v>1619000</v>
      </c>
      <c r="G501" s="757">
        <f t="shared" si="133"/>
        <v>1619000</v>
      </c>
      <c r="H501" s="757">
        <f t="shared" si="133"/>
        <v>0</v>
      </c>
      <c r="I501" s="757">
        <f t="shared" si="133"/>
        <v>1619000</v>
      </c>
      <c r="J501" s="675"/>
      <c r="K501" s="675"/>
      <c r="L501" s="550"/>
      <c r="M501" s="643"/>
      <c r="N501" s="550"/>
      <c r="O501" s="550"/>
      <c r="P501" s="550"/>
      <c r="Q501" s="550"/>
      <c r="R501" s="550"/>
      <c r="S501" s="550"/>
      <c r="T501" s="550"/>
      <c r="U501" s="550"/>
      <c r="V501" s="550"/>
      <c r="W501" s="550"/>
    </row>
    <row r="502" spans="1:23">
      <c r="A502" s="631"/>
      <c r="B502" s="208" t="s">
        <v>222</v>
      </c>
      <c r="C502" s="161" t="s">
        <v>223</v>
      </c>
      <c r="D502" s="915">
        <f t="shared" si="133"/>
        <v>856000</v>
      </c>
      <c r="E502" s="1407">
        <f t="shared" si="133"/>
        <v>856000</v>
      </c>
      <c r="F502" s="1408">
        <f t="shared" si="133"/>
        <v>874000</v>
      </c>
      <c r="G502" s="757">
        <f t="shared" si="133"/>
        <v>879000</v>
      </c>
      <c r="H502" s="757">
        <f t="shared" si="133"/>
        <v>0</v>
      </c>
      <c r="I502" s="757">
        <f t="shared" si="133"/>
        <v>879000</v>
      </c>
      <c r="J502" s="675"/>
      <c r="K502" s="675"/>
      <c r="L502" s="550"/>
      <c r="M502" s="589"/>
      <c r="N502" s="550"/>
      <c r="O502" s="550"/>
      <c r="P502" s="550"/>
      <c r="Q502" s="589"/>
      <c r="R502" s="550"/>
      <c r="S502" s="550"/>
      <c r="T502" s="550"/>
      <c r="U502" s="550"/>
      <c r="V502" s="550"/>
      <c r="W502" s="550"/>
    </row>
    <row r="503" spans="1:23">
      <c r="A503" s="631"/>
      <c r="B503" s="208" t="s">
        <v>224</v>
      </c>
      <c r="C503" s="161" t="s">
        <v>225</v>
      </c>
      <c r="D503" s="915">
        <f t="shared" si="133"/>
        <v>30585000</v>
      </c>
      <c r="E503" s="1407">
        <f t="shared" si="133"/>
        <v>28915640</v>
      </c>
      <c r="F503" s="1408">
        <f t="shared" si="133"/>
        <v>29651000</v>
      </c>
      <c r="G503" s="757">
        <f t="shared" si="133"/>
        <v>29639000</v>
      </c>
      <c r="H503" s="757">
        <f t="shared" si="133"/>
        <v>0</v>
      </c>
      <c r="I503" s="757">
        <f t="shared" si="133"/>
        <v>29639000</v>
      </c>
      <c r="J503" s="675"/>
      <c r="K503" s="675"/>
      <c r="L503" s="641"/>
      <c r="M503" s="641"/>
      <c r="N503" s="641"/>
      <c r="O503" s="641"/>
      <c r="P503" s="550"/>
      <c r="Q503" s="550"/>
      <c r="R503" s="550"/>
      <c r="S503" s="550"/>
      <c r="T503" s="550"/>
      <c r="U503" s="550"/>
      <c r="V503" s="550"/>
      <c r="W503" s="550"/>
    </row>
    <row r="504" spans="1:23">
      <c r="A504" s="631"/>
      <c r="B504" s="208" t="s">
        <v>1052</v>
      </c>
      <c r="C504" s="161" t="s">
        <v>1047</v>
      </c>
      <c r="D504" s="915">
        <f t="shared" si="133"/>
        <v>0</v>
      </c>
      <c r="E504" s="1407">
        <f t="shared" si="133"/>
        <v>39360</v>
      </c>
      <c r="F504" s="1408">
        <f t="shared" si="133"/>
        <v>0</v>
      </c>
      <c r="G504" s="757">
        <f t="shared" si="133"/>
        <v>10000</v>
      </c>
      <c r="H504" s="757">
        <f t="shared" si="133"/>
        <v>0</v>
      </c>
      <c r="I504" s="757">
        <f t="shared" si="133"/>
        <v>10000</v>
      </c>
      <c r="J504" s="675"/>
      <c r="K504" s="675"/>
      <c r="L504" s="641"/>
      <c r="M504" s="641"/>
      <c r="N504" s="641"/>
      <c r="O504" s="641"/>
      <c r="P504" s="550"/>
      <c r="Q504" s="550"/>
      <c r="R504" s="550"/>
      <c r="S504" s="550"/>
      <c r="T504" s="550"/>
      <c r="U504" s="550"/>
      <c r="V504" s="550"/>
      <c r="W504" s="550"/>
    </row>
    <row r="505" spans="1:23">
      <c r="A505" s="631"/>
      <c r="B505" s="208" t="s">
        <v>226</v>
      </c>
      <c r="C505" s="161" t="s">
        <v>227</v>
      </c>
      <c r="D505" s="915">
        <f t="shared" si="133"/>
        <v>0</v>
      </c>
      <c r="E505" s="1407">
        <f t="shared" si="133"/>
        <v>0</v>
      </c>
      <c r="F505" s="1408">
        <f t="shared" si="133"/>
        <v>0</v>
      </c>
      <c r="G505" s="757">
        <f t="shared" si="133"/>
        <v>0</v>
      </c>
      <c r="H505" s="757">
        <f t="shared" si="133"/>
        <v>0</v>
      </c>
      <c r="I505" s="757">
        <f t="shared" si="133"/>
        <v>0</v>
      </c>
      <c r="J505" s="675"/>
      <c r="K505" s="675"/>
      <c r="L505" s="641"/>
      <c r="M505" s="641"/>
      <c r="N505" s="641"/>
      <c r="O505" s="641"/>
      <c r="P505" s="550"/>
      <c r="Q505" s="550"/>
      <c r="R505" s="550"/>
      <c r="S505" s="550"/>
      <c r="T505" s="550"/>
      <c r="U505" s="550"/>
      <c r="V505" s="550"/>
      <c r="W505" s="550"/>
    </row>
    <row r="506" spans="1:23">
      <c r="A506" s="631"/>
      <c r="B506" s="778" t="s">
        <v>672</v>
      </c>
      <c r="C506" s="161" t="s">
        <v>229</v>
      </c>
      <c r="D506" s="915">
        <f t="shared" si="133"/>
        <v>2755000</v>
      </c>
      <c r="E506" s="1407">
        <f t="shared" si="133"/>
        <v>2745000</v>
      </c>
      <c r="F506" s="1408">
        <f t="shared" si="133"/>
        <v>2740000</v>
      </c>
      <c r="G506" s="757">
        <f t="shared" si="133"/>
        <v>2740000</v>
      </c>
      <c r="H506" s="757">
        <f t="shared" si="133"/>
        <v>0</v>
      </c>
      <c r="I506" s="757">
        <f t="shared" si="133"/>
        <v>2740000</v>
      </c>
      <c r="J506" s="675"/>
      <c r="K506" s="675"/>
      <c r="L506" s="641"/>
      <c r="M506" s="641"/>
      <c r="N506" s="641"/>
      <c r="O506" s="641"/>
      <c r="P506" s="550"/>
      <c r="Q506" s="550"/>
      <c r="R506" s="550"/>
      <c r="S506" s="550"/>
      <c r="T506" s="550"/>
      <c r="U506" s="550"/>
      <c r="V506" s="550"/>
      <c r="W506" s="550"/>
    </row>
    <row r="507" spans="1:23">
      <c r="A507" s="631"/>
      <c r="B507" s="208" t="s">
        <v>231</v>
      </c>
      <c r="C507" s="161" t="s">
        <v>232</v>
      </c>
      <c r="D507" s="915">
        <f t="shared" si="133"/>
        <v>27000</v>
      </c>
      <c r="E507" s="1407">
        <f t="shared" si="133"/>
        <v>27000</v>
      </c>
      <c r="F507" s="1408">
        <f t="shared" si="133"/>
        <v>27000</v>
      </c>
      <c r="G507" s="757">
        <f t="shared" si="133"/>
        <v>27000</v>
      </c>
      <c r="H507" s="757">
        <f t="shared" si="133"/>
        <v>0</v>
      </c>
      <c r="I507" s="757">
        <f t="shared" si="133"/>
        <v>27000</v>
      </c>
      <c r="J507" s="675"/>
      <c r="K507" s="675"/>
      <c r="L507" s="550"/>
      <c r="M507" s="550"/>
      <c r="N507" s="550"/>
      <c r="O507" s="550"/>
      <c r="P507" s="550"/>
      <c r="Q507" s="550"/>
      <c r="R507" s="550"/>
      <c r="S507" s="550"/>
      <c r="T507" s="550"/>
      <c r="U507" s="550"/>
      <c r="V507" s="550"/>
      <c r="W507" s="550"/>
    </row>
    <row r="508" spans="1:23">
      <c r="A508" s="631"/>
      <c r="B508" s="208" t="s">
        <v>233</v>
      </c>
      <c r="C508" s="161" t="s">
        <v>234</v>
      </c>
      <c r="D508" s="915">
        <f t="shared" si="133"/>
        <v>6513000</v>
      </c>
      <c r="E508" s="1407">
        <f t="shared" si="133"/>
        <v>6513000</v>
      </c>
      <c r="F508" s="1408">
        <f t="shared" si="133"/>
        <v>6627000</v>
      </c>
      <c r="G508" s="757">
        <f t="shared" si="133"/>
        <v>6615000</v>
      </c>
      <c r="H508" s="757">
        <f t="shared" si="133"/>
        <v>0</v>
      </c>
      <c r="I508" s="757">
        <f t="shared" si="133"/>
        <v>6615000</v>
      </c>
      <c r="J508" s="675"/>
      <c r="K508" s="675"/>
      <c r="L508" s="550"/>
      <c r="M508" s="550"/>
      <c r="N508" s="550"/>
      <c r="O508" s="550"/>
      <c r="P508" s="550"/>
      <c r="Q508" s="550"/>
      <c r="R508" s="550"/>
      <c r="S508" s="550"/>
      <c r="T508" s="550"/>
      <c r="U508" s="550"/>
      <c r="V508" s="550"/>
      <c r="W508" s="550"/>
    </row>
    <row r="509" spans="1:23" s="252" customFormat="1">
      <c r="A509" s="253" t="s">
        <v>235</v>
      </c>
      <c r="B509" s="257" t="s">
        <v>236</v>
      </c>
      <c r="C509" s="255" t="s">
        <v>81</v>
      </c>
      <c r="D509" s="904">
        <f t="shared" ref="D509:I509" si="134">D510+D527</f>
        <v>8883000</v>
      </c>
      <c r="E509" s="1511">
        <f t="shared" si="134"/>
        <v>8883000</v>
      </c>
      <c r="F509" s="1512">
        <f t="shared" si="134"/>
        <v>11146726</v>
      </c>
      <c r="G509" s="1736">
        <f t="shared" si="134"/>
        <v>11147000</v>
      </c>
      <c r="H509" s="1736">
        <f t="shared" si="134"/>
        <v>0</v>
      </c>
      <c r="I509" s="1736">
        <f t="shared" si="134"/>
        <v>11147000</v>
      </c>
      <c r="J509" s="720"/>
      <c r="K509" s="721"/>
      <c r="L509" s="721"/>
      <c r="M509" s="721"/>
      <c r="N509" s="721"/>
      <c r="O509" s="721"/>
      <c r="P509" s="721"/>
      <c r="Q509" s="721"/>
      <c r="R509" s="721"/>
      <c r="S509" s="721"/>
      <c r="T509" s="721"/>
      <c r="U509" s="721"/>
      <c r="V509" s="721"/>
      <c r="W509" s="721"/>
    </row>
    <row r="510" spans="1:23" s="252" customFormat="1">
      <c r="A510" s="728"/>
      <c r="B510" s="257" t="s">
        <v>310</v>
      </c>
      <c r="C510" s="255" t="s">
        <v>238</v>
      </c>
      <c r="D510" s="904">
        <f t="shared" ref="D510:I510" si="135">SUM(D511:D526)</f>
        <v>8883000</v>
      </c>
      <c r="E510" s="1511">
        <f t="shared" si="135"/>
        <v>8883000</v>
      </c>
      <c r="F510" s="1512">
        <f t="shared" si="135"/>
        <v>11146726</v>
      </c>
      <c r="G510" s="1736">
        <f t="shared" si="135"/>
        <v>11147000</v>
      </c>
      <c r="H510" s="1736">
        <f t="shared" si="135"/>
        <v>0</v>
      </c>
      <c r="I510" s="1736">
        <f t="shared" si="135"/>
        <v>11147000</v>
      </c>
      <c r="J510" s="720"/>
      <c r="K510" s="721"/>
      <c r="L510" s="721"/>
      <c r="M510" s="721"/>
      <c r="N510" s="721"/>
      <c r="O510" s="721"/>
      <c r="P510" s="721"/>
      <c r="Q510" s="721"/>
      <c r="R510" s="721"/>
      <c r="S510" s="721"/>
      <c r="T510" s="721"/>
      <c r="U510" s="721"/>
      <c r="V510" s="721"/>
      <c r="W510" s="721"/>
    </row>
    <row r="511" spans="1:23" s="221" customFormat="1">
      <c r="A511" s="672"/>
      <c r="B511" s="219" t="s">
        <v>239</v>
      </c>
      <c r="C511" s="220" t="s">
        <v>240</v>
      </c>
      <c r="D511" s="916">
        <f t="shared" ref="D511:I524" si="136">D254</f>
        <v>1707000</v>
      </c>
      <c r="E511" s="1529">
        <f t="shared" si="136"/>
        <v>1707000</v>
      </c>
      <c r="F511" s="1530">
        <f t="shared" si="136"/>
        <v>2040000</v>
      </c>
      <c r="G511" s="1746">
        <f t="shared" si="136"/>
        <v>2040000</v>
      </c>
      <c r="H511" s="1746">
        <f t="shared" si="136"/>
        <v>0</v>
      </c>
      <c r="I511" s="1746">
        <f t="shared" si="136"/>
        <v>2040000</v>
      </c>
      <c r="J511" s="748"/>
      <c r="K511" s="748"/>
      <c r="L511" s="580"/>
      <c r="M511" s="580"/>
      <c r="N511" s="580"/>
      <c r="O511" s="580"/>
      <c r="P511" s="580"/>
      <c r="Q511" s="580"/>
      <c r="R511" s="580"/>
      <c r="S511" s="580"/>
      <c r="T511" s="580"/>
      <c r="U511" s="580"/>
      <c r="V511" s="580"/>
      <c r="W511" s="580"/>
    </row>
    <row r="512" spans="1:23">
      <c r="A512" s="631"/>
      <c r="B512" s="222" t="s">
        <v>241</v>
      </c>
      <c r="C512" s="161" t="s">
        <v>242</v>
      </c>
      <c r="D512" s="775">
        <f t="shared" si="136"/>
        <v>120000</v>
      </c>
      <c r="E512" s="1499">
        <f t="shared" si="136"/>
        <v>120000</v>
      </c>
      <c r="F512" s="1500">
        <f t="shared" si="136"/>
        <v>120000</v>
      </c>
      <c r="G512" s="1728">
        <f t="shared" si="136"/>
        <v>120000</v>
      </c>
      <c r="H512" s="1728">
        <f t="shared" si="136"/>
        <v>0</v>
      </c>
      <c r="I512" s="1728">
        <f t="shared" si="136"/>
        <v>120000</v>
      </c>
      <c r="J512" s="675"/>
      <c r="K512" s="675"/>
      <c r="L512" s="550"/>
      <c r="M512" s="550"/>
      <c r="N512" s="550"/>
      <c r="O512" s="550"/>
      <c r="P512" s="550"/>
      <c r="Q512" s="550"/>
      <c r="R512" s="550"/>
      <c r="S512" s="550"/>
      <c r="T512" s="550"/>
      <c r="U512" s="550"/>
      <c r="V512" s="550"/>
      <c r="W512" s="550"/>
    </row>
    <row r="513" spans="1:23">
      <c r="A513" s="631"/>
      <c r="B513" s="208" t="s">
        <v>243</v>
      </c>
      <c r="C513" s="161" t="s">
        <v>244</v>
      </c>
      <c r="D513" s="775">
        <f t="shared" si="136"/>
        <v>347000</v>
      </c>
      <c r="E513" s="1499">
        <f t="shared" si="136"/>
        <v>347000</v>
      </c>
      <c r="F513" s="1500">
        <f t="shared" si="136"/>
        <v>347000</v>
      </c>
      <c r="G513" s="1728">
        <f t="shared" si="136"/>
        <v>347000</v>
      </c>
      <c r="H513" s="1728">
        <f t="shared" si="136"/>
        <v>0</v>
      </c>
      <c r="I513" s="1728">
        <f t="shared" si="136"/>
        <v>347000</v>
      </c>
      <c r="J513" s="675"/>
      <c r="K513" s="675"/>
      <c r="L513" s="550"/>
      <c r="M513" s="550"/>
      <c r="N513" s="550"/>
      <c r="O513" s="550"/>
      <c r="P513" s="550"/>
      <c r="Q513" s="550"/>
      <c r="R513" s="550"/>
      <c r="S513" s="550"/>
      <c r="T513" s="550"/>
      <c r="U513" s="550"/>
      <c r="V513" s="550"/>
      <c r="W513" s="550"/>
    </row>
    <row r="514" spans="1:23">
      <c r="A514" s="631"/>
      <c r="B514" s="208" t="s">
        <v>245</v>
      </c>
      <c r="C514" s="161" t="s">
        <v>246</v>
      </c>
      <c r="D514" s="775">
        <f t="shared" si="136"/>
        <v>1195000</v>
      </c>
      <c r="E514" s="1499">
        <f t="shared" si="136"/>
        <v>1195000</v>
      </c>
      <c r="F514" s="1500">
        <f t="shared" si="136"/>
        <v>1151726</v>
      </c>
      <c r="G514" s="1728">
        <f t="shared" si="136"/>
        <v>1152000</v>
      </c>
      <c r="H514" s="1728">
        <f t="shared" si="136"/>
        <v>0</v>
      </c>
      <c r="I514" s="1728">
        <f t="shared" si="136"/>
        <v>1152000</v>
      </c>
      <c r="J514" s="675"/>
      <c r="K514" s="675"/>
      <c r="L514" s="550"/>
      <c r="M514" s="550"/>
      <c r="N514" s="550"/>
      <c r="O514" s="550"/>
      <c r="P514" s="550"/>
      <c r="Q514" s="550"/>
      <c r="R514" s="550"/>
      <c r="S514" s="550"/>
      <c r="T514" s="550"/>
      <c r="U514" s="550"/>
      <c r="V514" s="550"/>
      <c r="W514" s="550"/>
    </row>
    <row r="515" spans="1:23">
      <c r="A515" s="631"/>
      <c r="B515" s="208" t="s">
        <v>247</v>
      </c>
      <c r="C515" s="161" t="s">
        <v>248</v>
      </c>
      <c r="D515" s="775">
        <f t="shared" si="136"/>
        <v>59000</v>
      </c>
      <c r="E515" s="1499">
        <f t="shared" si="136"/>
        <v>59000</v>
      </c>
      <c r="F515" s="1500">
        <f t="shared" si="136"/>
        <v>60000</v>
      </c>
      <c r="G515" s="1728">
        <f t="shared" si="136"/>
        <v>60000</v>
      </c>
      <c r="H515" s="1728">
        <f t="shared" si="136"/>
        <v>0</v>
      </c>
      <c r="I515" s="1728">
        <f t="shared" si="136"/>
        <v>60000</v>
      </c>
      <c r="J515" s="675"/>
      <c r="K515" s="675"/>
      <c r="L515" s="550"/>
      <c r="M515" s="550"/>
      <c r="N515" s="550"/>
      <c r="O515" s="550"/>
      <c r="P515" s="550"/>
      <c r="Q515" s="550"/>
      <c r="R515" s="550"/>
      <c r="S515" s="550"/>
      <c r="T515" s="550"/>
      <c r="U515" s="550"/>
      <c r="V515" s="550"/>
      <c r="W515" s="550"/>
    </row>
    <row r="516" spans="1:23">
      <c r="A516" s="631"/>
      <c r="B516" s="208" t="s">
        <v>249</v>
      </c>
      <c r="C516" s="161" t="s">
        <v>250</v>
      </c>
      <c r="D516" s="775">
        <f t="shared" si="136"/>
        <v>0</v>
      </c>
      <c r="E516" s="1499">
        <f t="shared" si="136"/>
        <v>0</v>
      </c>
      <c r="F516" s="1500">
        <f t="shared" si="136"/>
        <v>0</v>
      </c>
      <c r="G516" s="1728">
        <f t="shared" si="136"/>
        <v>0</v>
      </c>
      <c r="H516" s="1728">
        <f t="shared" si="136"/>
        <v>0</v>
      </c>
      <c r="I516" s="1728">
        <f t="shared" si="136"/>
        <v>0</v>
      </c>
      <c r="J516" s="675"/>
      <c r="K516" s="675"/>
      <c r="L516" s="550"/>
      <c r="M516" s="550"/>
      <c r="N516" s="550"/>
      <c r="O516" s="550"/>
      <c r="P516" s="550"/>
      <c r="Q516" s="550"/>
      <c r="R516" s="550"/>
      <c r="S516" s="550"/>
      <c r="T516" s="550"/>
      <c r="U516" s="550"/>
      <c r="V516" s="550"/>
      <c r="W516" s="550"/>
    </row>
    <row r="517" spans="1:23">
      <c r="A517" s="631"/>
      <c r="B517" s="208" t="s">
        <v>251</v>
      </c>
      <c r="C517" s="161" t="s">
        <v>252</v>
      </c>
      <c r="D517" s="775">
        <f t="shared" si="136"/>
        <v>3000</v>
      </c>
      <c r="E517" s="1499">
        <f t="shared" si="136"/>
        <v>3000</v>
      </c>
      <c r="F517" s="1500">
        <f t="shared" si="136"/>
        <v>3000</v>
      </c>
      <c r="G517" s="1728">
        <f t="shared" si="136"/>
        <v>3000</v>
      </c>
      <c r="H517" s="1728">
        <f t="shared" si="136"/>
        <v>0</v>
      </c>
      <c r="I517" s="1728">
        <f t="shared" si="136"/>
        <v>3000</v>
      </c>
      <c r="J517" s="675"/>
      <c r="K517" s="675"/>
      <c r="L517" s="641"/>
      <c r="M517" s="641"/>
      <c r="N517" s="641"/>
      <c r="O517" s="641"/>
      <c r="P517" s="550"/>
      <c r="Q517" s="550"/>
      <c r="R517" s="550"/>
      <c r="S517" s="550"/>
      <c r="T517" s="550"/>
      <c r="U517" s="550"/>
      <c r="V517" s="550"/>
      <c r="W517" s="550"/>
    </row>
    <row r="518" spans="1:23">
      <c r="A518" s="631"/>
      <c r="B518" s="208" t="s">
        <v>253</v>
      </c>
      <c r="C518" s="161" t="s">
        <v>254</v>
      </c>
      <c r="D518" s="775">
        <f t="shared" si="136"/>
        <v>44000</v>
      </c>
      <c r="E518" s="1499">
        <f t="shared" si="136"/>
        <v>44000</v>
      </c>
      <c r="F518" s="1500">
        <f t="shared" si="136"/>
        <v>45000</v>
      </c>
      <c r="G518" s="1728">
        <f t="shared" si="136"/>
        <v>45000</v>
      </c>
      <c r="H518" s="1728">
        <f t="shared" si="136"/>
        <v>0</v>
      </c>
      <c r="I518" s="1728">
        <f t="shared" si="136"/>
        <v>45000</v>
      </c>
      <c r="J518" s="675"/>
      <c r="K518" s="675"/>
      <c r="L518" s="550"/>
      <c r="M518" s="550"/>
      <c r="N518" s="550"/>
      <c r="O518" s="550"/>
      <c r="P518" s="550"/>
      <c r="Q518" s="550"/>
      <c r="R518" s="550"/>
      <c r="S518" s="550"/>
      <c r="T518" s="550"/>
      <c r="U518" s="550"/>
      <c r="V518" s="550"/>
      <c r="W518" s="550"/>
    </row>
    <row r="519" spans="1:23">
      <c r="A519" s="631"/>
      <c r="B519" s="208" t="s">
        <v>633</v>
      </c>
      <c r="C519" s="161" t="s">
        <v>634</v>
      </c>
      <c r="D519" s="775">
        <f t="shared" si="136"/>
        <v>15000</v>
      </c>
      <c r="E519" s="1499">
        <f t="shared" si="136"/>
        <v>15000</v>
      </c>
      <c r="F519" s="1500">
        <f t="shared" si="136"/>
        <v>13000</v>
      </c>
      <c r="G519" s="1728">
        <f t="shared" si="136"/>
        <v>13000</v>
      </c>
      <c r="H519" s="1728">
        <f t="shared" si="136"/>
        <v>0</v>
      </c>
      <c r="I519" s="1728">
        <f t="shared" si="136"/>
        <v>13000</v>
      </c>
      <c r="J519" s="675"/>
      <c r="K519" s="675"/>
      <c r="L519" s="550"/>
      <c r="M519" s="550"/>
      <c r="N519" s="550"/>
      <c r="O519" s="550"/>
      <c r="P519" s="550"/>
      <c r="Q519" s="550"/>
      <c r="R519" s="550"/>
      <c r="S519" s="550"/>
      <c r="T519" s="550"/>
      <c r="U519" s="550"/>
      <c r="V519" s="550"/>
      <c r="W519" s="550"/>
    </row>
    <row r="520" spans="1:23">
      <c r="A520" s="631"/>
      <c r="B520" s="208" t="s">
        <v>255</v>
      </c>
      <c r="C520" s="161" t="s">
        <v>256</v>
      </c>
      <c r="D520" s="775">
        <f t="shared" si="136"/>
        <v>1000</v>
      </c>
      <c r="E520" s="1499">
        <f t="shared" si="136"/>
        <v>1000</v>
      </c>
      <c r="F520" s="1500">
        <f t="shared" si="136"/>
        <v>0</v>
      </c>
      <c r="G520" s="1728">
        <f t="shared" si="136"/>
        <v>0</v>
      </c>
      <c r="H520" s="1728">
        <f t="shared" si="136"/>
        <v>0</v>
      </c>
      <c r="I520" s="1728">
        <f t="shared" si="136"/>
        <v>0</v>
      </c>
      <c r="J520" s="675"/>
      <c r="K520" s="675"/>
      <c r="L520" s="550"/>
      <c r="M520" s="550"/>
      <c r="N520" s="550"/>
      <c r="O520" s="550"/>
      <c r="P520" s="550"/>
      <c r="Q520" s="550"/>
      <c r="R520" s="550"/>
      <c r="S520" s="550"/>
      <c r="T520" s="550"/>
      <c r="U520" s="550"/>
      <c r="V520" s="550"/>
      <c r="W520" s="550"/>
    </row>
    <row r="521" spans="1:23">
      <c r="A521" s="631"/>
      <c r="B521" s="208" t="s">
        <v>126</v>
      </c>
      <c r="C521" s="161" t="s">
        <v>257</v>
      </c>
      <c r="D521" s="775">
        <f t="shared" si="136"/>
        <v>542000</v>
      </c>
      <c r="E521" s="1499">
        <f t="shared" si="136"/>
        <v>554000</v>
      </c>
      <c r="F521" s="1500">
        <f t="shared" si="136"/>
        <v>518000</v>
      </c>
      <c r="G521" s="1728">
        <f t="shared" si="136"/>
        <v>518000</v>
      </c>
      <c r="H521" s="1728">
        <f t="shared" si="136"/>
        <v>0</v>
      </c>
      <c r="I521" s="1728">
        <f t="shared" si="136"/>
        <v>518000</v>
      </c>
      <c r="J521" s="675"/>
      <c r="K521" s="675"/>
      <c r="L521" s="641"/>
      <c r="M521" s="641"/>
      <c r="N521" s="641"/>
      <c r="O521" s="641"/>
      <c r="P521" s="550"/>
      <c r="Q521" s="550"/>
      <c r="R521" s="550"/>
      <c r="S521" s="550"/>
      <c r="T521" s="550"/>
      <c r="U521" s="550"/>
      <c r="V521" s="550"/>
      <c r="W521" s="550"/>
    </row>
    <row r="522" spans="1:23">
      <c r="A522" s="631"/>
      <c r="B522" s="208" t="s">
        <v>258</v>
      </c>
      <c r="C522" s="161" t="s">
        <v>259</v>
      </c>
      <c r="D522" s="775">
        <f t="shared" si="136"/>
        <v>0</v>
      </c>
      <c r="E522" s="1499">
        <f t="shared" si="136"/>
        <v>0</v>
      </c>
      <c r="F522" s="1500">
        <f t="shared" si="136"/>
        <v>0</v>
      </c>
      <c r="G522" s="1728">
        <f t="shared" si="136"/>
        <v>0</v>
      </c>
      <c r="H522" s="1728">
        <f t="shared" si="136"/>
        <v>0</v>
      </c>
      <c r="I522" s="1728">
        <f t="shared" si="136"/>
        <v>0</v>
      </c>
      <c r="J522" s="675"/>
      <c r="K522" s="675"/>
      <c r="L522" s="644"/>
      <c r="M522" s="644"/>
      <c r="N522" s="644"/>
      <c r="O522" s="644"/>
      <c r="P522" s="550"/>
      <c r="Q522" s="550"/>
      <c r="R522" s="550"/>
      <c r="S522" s="550"/>
      <c r="T522" s="550"/>
      <c r="U522" s="550"/>
      <c r="V522" s="550"/>
      <c r="W522" s="550"/>
    </row>
    <row r="523" spans="1:23" ht="15.75" customHeight="1">
      <c r="A523" s="631"/>
      <c r="B523" s="208" t="s">
        <v>260</v>
      </c>
      <c r="C523" s="161" t="s">
        <v>261</v>
      </c>
      <c r="D523" s="775">
        <f t="shared" si="136"/>
        <v>37000</v>
      </c>
      <c r="E523" s="1499">
        <f t="shared" si="136"/>
        <v>37000</v>
      </c>
      <c r="F523" s="1500">
        <f t="shared" si="136"/>
        <v>0</v>
      </c>
      <c r="G523" s="1728">
        <f t="shared" si="136"/>
        <v>152000</v>
      </c>
      <c r="H523" s="1728">
        <f t="shared" si="136"/>
        <v>0</v>
      </c>
      <c r="I523" s="1728">
        <f t="shared" si="136"/>
        <v>152000</v>
      </c>
      <c r="J523" s="675"/>
      <c r="K523" s="675"/>
      <c r="L523" s="550"/>
      <c r="M523" s="550"/>
      <c r="N523" s="550"/>
      <c r="O523" s="550"/>
      <c r="P523" s="550"/>
      <c r="Q523" s="550"/>
      <c r="R523" s="550"/>
      <c r="S523" s="550"/>
      <c r="T523" s="550"/>
      <c r="U523" s="550"/>
      <c r="V523" s="550"/>
      <c r="W523" s="550"/>
    </row>
    <row r="524" spans="1:23">
      <c r="A524" s="631"/>
      <c r="B524" s="208" t="s">
        <v>262</v>
      </c>
      <c r="C524" s="161" t="s">
        <v>263</v>
      </c>
      <c r="D524" s="775">
        <f t="shared" si="136"/>
        <v>3506000</v>
      </c>
      <c r="E524" s="1499">
        <f t="shared" si="136"/>
        <v>3494000</v>
      </c>
      <c r="F524" s="1500">
        <f t="shared" si="136"/>
        <v>4945000</v>
      </c>
      <c r="G524" s="1728">
        <f t="shared" si="136"/>
        <v>4793000</v>
      </c>
      <c r="H524" s="1728">
        <f t="shared" si="136"/>
        <v>0</v>
      </c>
      <c r="I524" s="1728">
        <f t="shared" si="136"/>
        <v>4793000</v>
      </c>
      <c r="J524" s="675"/>
      <c r="K524" s="675"/>
      <c r="L524" s="550"/>
      <c r="M524" s="550"/>
      <c r="N524" s="550"/>
      <c r="O524" s="550"/>
      <c r="P524" s="550"/>
      <c r="Q524" s="550"/>
      <c r="R524" s="550"/>
      <c r="S524" s="550"/>
      <c r="T524" s="550"/>
      <c r="U524" s="550"/>
      <c r="V524" s="550"/>
      <c r="W524" s="550"/>
    </row>
    <row r="525" spans="1:23">
      <c r="A525" s="631"/>
      <c r="B525" s="778" t="s">
        <v>669</v>
      </c>
      <c r="C525" s="161" t="s">
        <v>668</v>
      </c>
      <c r="D525" s="775">
        <f t="shared" ref="D525:I525" si="137">D269</f>
        <v>1305000</v>
      </c>
      <c r="E525" s="1499">
        <f t="shared" si="137"/>
        <v>1305000</v>
      </c>
      <c r="F525" s="1500">
        <f t="shared" si="137"/>
        <v>1903000</v>
      </c>
      <c r="G525" s="1728">
        <f t="shared" si="137"/>
        <v>1903000</v>
      </c>
      <c r="H525" s="1728">
        <f t="shared" si="137"/>
        <v>0</v>
      </c>
      <c r="I525" s="1728">
        <f t="shared" si="137"/>
        <v>1903000</v>
      </c>
      <c r="J525" s="675"/>
      <c r="K525" s="675"/>
      <c r="L525" s="550"/>
      <c r="M525" s="550"/>
      <c r="N525" s="550"/>
      <c r="O525" s="550"/>
      <c r="P525" s="550"/>
      <c r="Q525" s="550"/>
      <c r="R525" s="550"/>
      <c r="S525" s="550"/>
      <c r="T525" s="550"/>
      <c r="U525" s="550"/>
      <c r="V525" s="550"/>
      <c r="W525" s="550"/>
    </row>
    <row r="526" spans="1:23">
      <c r="A526" s="631"/>
      <c r="B526" s="778" t="s">
        <v>671</v>
      </c>
      <c r="C526" s="161" t="s">
        <v>670</v>
      </c>
      <c r="D526" s="775">
        <f t="shared" ref="D526:I526" si="138">D268</f>
        <v>2000</v>
      </c>
      <c r="E526" s="1499">
        <f t="shared" si="138"/>
        <v>2000</v>
      </c>
      <c r="F526" s="1500">
        <f t="shared" si="138"/>
        <v>1000</v>
      </c>
      <c r="G526" s="1728">
        <f t="shared" si="138"/>
        <v>1000</v>
      </c>
      <c r="H526" s="1728">
        <f t="shared" si="138"/>
        <v>0</v>
      </c>
      <c r="I526" s="1728">
        <f t="shared" si="138"/>
        <v>1000</v>
      </c>
      <c r="J526" s="675"/>
      <c r="K526" s="675"/>
      <c r="L526" s="550"/>
      <c r="M526" s="550"/>
      <c r="N526" s="550"/>
      <c r="O526" s="550"/>
      <c r="P526" s="550"/>
      <c r="Q526" s="550"/>
      <c r="R526" s="550"/>
      <c r="S526" s="550"/>
      <c r="T526" s="550"/>
      <c r="U526" s="550"/>
      <c r="V526" s="550"/>
      <c r="W526" s="550"/>
    </row>
    <row r="527" spans="1:23">
      <c r="A527" s="631"/>
      <c r="B527" s="208" t="s">
        <v>65</v>
      </c>
      <c r="C527" s="161" t="s">
        <v>264</v>
      </c>
      <c r="D527" s="914"/>
      <c r="E527" s="1449"/>
      <c r="F527" s="1450"/>
      <c r="G527" s="1700"/>
      <c r="H527" s="1700"/>
      <c r="I527" s="1700"/>
      <c r="J527" s="675"/>
      <c r="K527" s="675"/>
      <c r="L527" s="675"/>
      <c r="M527" s="550"/>
      <c r="N527" s="550"/>
      <c r="O527" s="550"/>
      <c r="P527" s="550"/>
      <c r="Q527" s="550"/>
      <c r="R527" s="550"/>
      <c r="S527" s="550"/>
      <c r="T527" s="550"/>
      <c r="U527" s="550"/>
      <c r="V527" s="550"/>
      <c r="W527" s="550"/>
    </row>
    <row r="528" spans="1:23" s="226" customFormat="1" ht="27.75" customHeight="1">
      <c r="A528" s="223" t="s">
        <v>265</v>
      </c>
      <c r="B528" s="224" t="s">
        <v>266</v>
      </c>
      <c r="C528" s="225" t="s">
        <v>267</v>
      </c>
      <c r="D528" s="917"/>
      <c r="E528" s="1531"/>
      <c r="F528" s="1532"/>
      <c r="G528" s="1747"/>
      <c r="H528" s="1747"/>
      <c r="I528" s="1747"/>
      <c r="J528" s="675"/>
      <c r="K528" s="581"/>
      <c r="L528" s="641"/>
      <c r="M528" s="641"/>
      <c r="N528" s="641"/>
      <c r="O528" s="641"/>
      <c r="P528" s="581"/>
      <c r="Q528" s="581"/>
      <c r="R528" s="581"/>
      <c r="S528" s="581"/>
      <c r="T528" s="581"/>
      <c r="U528" s="581"/>
      <c r="V528" s="581"/>
      <c r="W528" s="581"/>
    </row>
    <row r="529" spans="1:23" s="260" customFormat="1">
      <c r="A529" s="244" t="s">
        <v>25</v>
      </c>
      <c r="B529" s="270" t="s">
        <v>268</v>
      </c>
      <c r="C529" s="246" t="s">
        <v>81</v>
      </c>
      <c r="D529" s="902">
        <f t="shared" ref="D529:I529" si="139">SUM(D530,D536)</f>
        <v>90525000</v>
      </c>
      <c r="E529" s="1495">
        <f t="shared" si="139"/>
        <v>56856000</v>
      </c>
      <c r="F529" s="1496">
        <f t="shared" si="139"/>
        <v>208000000</v>
      </c>
      <c r="G529" s="1727">
        <f t="shared" si="139"/>
        <v>149889000</v>
      </c>
      <c r="H529" s="1727">
        <f t="shared" si="139"/>
        <v>0</v>
      </c>
      <c r="I529" s="1727">
        <f t="shared" si="139"/>
        <v>149889000</v>
      </c>
      <c r="J529" s="720"/>
      <c r="K529" s="723"/>
      <c r="L529" s="730"/>
      <c r="M529" s="730"/>
      <c r="N529" s="730"/>
      <c r="O529" s="730"/>
      <c r="P529" s="723"/>
      <c r="Q529" s="723"/>
      <c r="R529" s="723"/>
      <c r="S529" s="723"/>
      <c r="T529" s="723"/>
      <c r="U529" s="723"/>
      <c r="V529" s="723"/>
      <c r="W529" s="723"/>
    </row>
    <row r="530" spans="1:23" s="260" customFormat="1">
      <c r="A530" s="258" t="s">
        <v>27</v>
      </c>
      <c r="B530" s="272" t="s">
        <v>269</v>
      </c>
      <c r="C530" s="273" t="s">
        <v>81</v>
      </c>
      <c r="D530" s="918">
        <f t="shared" ref="D530:I530" si="140">SUM(D531:D531)</f>
        <v>62633000</v>
      </c>
      <c r="E530" s="1533">
        <f t="shared" si="140"/>
        <v>29870000</v>
      </c>
      <c r="F530" s="1534">
        <f t="shared" si="140"/>
        <v>45900000</v>
      </c>
      <c r="G530" s="1748">
        <f t="shared" si="140"/>
        <v>45489000</v>
      </c>
      <c r="H530" s="1748">
        <f t="shared" si="140"/>
        <v>0</v>
      </c>
      <c r="I530" s="1748">
        <f t="shared" si="140"/>
        <v>45489000</v>
      </c>
      <c r="J530" s="720"/>
      <c r="K530" s="723"/>
      <c r="L530" s="722"/>
      <c r="M530" s="722"/>
      <c r="N530" s="722"/>
      <c r="O530" s="722"/>
      <c r="P530" s="723"/>
      <c r="Q530" s="723"/>
      <c r="R530" s="723"/>
      <c r="S530" s="723"/>
      <c r="T530" s="723"/>
      <c r="U530" s="723"/>
      <c r="V530" s="723"/>
      <c r="W530" s="723"/>
    </row>
    <row r="531" spans="1:23" s="260" customFormat="1">
      <c r="A531" s="724"/>
      <c r="B531" s="257" t="s">
        <v>145</v>
      </c>
      <c r="C531" s="273" t="s">
        <v>270</v>
      </c>
      <c r="D531" s="918">
        <f>SUM(D532,D534)</f>
        <v>62633000</v>
      </c>
      <c r="E531" s="1533">
        <f>SUM(E532,E533)</f>
        <v>29870000</v>
      </c>
      <c r="F531" s="1533">
        <f>SUM(F532,F533)</f>
        <v>45900000</v>
      </c>
      <c r="G531" s="1749">
        <f>SUM(G532,G533)</f>
        <v>45489000</v>
      </c>
      <c r="H531" s="1749">
        <f>SUM(H532,H533)</f>
        <v>0</v>
      </c>
      <c r="I531" s="1749">
        <f>SUM(I532,I533)</f>
        <v>45489000</v>
      </c>
      <c r="J531" s="720"/>
      <c r="K531" s="723"/>
      <c r="L531" s="722"/>
      <c r="M531" s="722"/>
      <c r="N531" s="722"/>
      <c r="O531" s="722"/>
      <c r="P531" s="723"/>
      <c r="Q531" s="723"/>
      <c r="R531" s="723"/>
      <c r="S531" s="723"/>
      <c r="T531" s="723"/>
      <c r="U531" s="723"/>
      <c r="V531" s="723"/>
      <c r="W531" s="723"/>
    </row>
    <row r="532" spans="1:23">
      <c r="A532" s="631"/>
      <c r="B532" s="181" t="s">
        <v>271</v>
      </c>
      <c r="C532" s="620"/>
      <c r="D532" s="915">
        <f t="shared" ref="D532:I532" si="141">D276</f>
        <v>18900000</v>
      </c>
      <c r="E532" s="1407">
        <f t="shared" si="141"/>
        <v>10550000</v>
      </c>
      <c r="F532" s="1407">
        <f t="shared" si="141"/>
        <v>21900000</v>
      </c>
      <c r="G532" s="1750">
        <f t="shared" si="141"/>
        <v>21489000</v>
      </c>
      <c r="H532" s="1750">
        <f t="shared" si="141"/>
        <v>0</v>
      </c>
      <c r="I532" s="1750">
        <f t="shared" si="141"/>
        <v>21489000</v>
      </c>
      <c r="J532" s="675"/>
      <c r="K532" s="550"/>
      <c r="L532" s="649"/>
      <c r="M532" s="649"/>
      <c r="N532" s="649"/>
      <c r="O532" s="649"/>
      <c r="P532" s="550"/>
      <c r="Q532" s="550"/>
      <c r="R532" s="550"/>
      <c r="S532" s="550"/>
      <c r="T532" s="550"/>
      <c r="U532" s="550"/>
      <c r="V532" s="550"/>
      <c r="W532" s="550"/>
    </row>
    <row r="533" spans="1:23" s="260" customFormat="1">
      <c r="A533" s="724"/>
      <c r="B533" s="254" t="s">
        <v>272</v>
      </c>
      <c r="C533" s="255" t="s">
        <v>81</v>
      </c>
      <c r="D533" s="908">
        <f t="shared" ref="D533:I533" si="142">SUM(D534:D535)</f>
        <v>43733000</v>
      </c>
      <c r="E533" s="1517">
        <f t="shared" si="142"/>
        <v>19320000</v>
      </c>
      <c r="F533" s="1518">
        <f t="shared" si="142"/>
        <v>24000000</v>
      </c>
      <c r="G533" s="1739">
        <f t="shared" si="142"/>
        <v>24000000</v>
      </c>
      <c r="H533" s="1739">
        <f t="shared" si="142"/>
        <v>0</v>
      </c>
      <c r="I533" s="1739">
        <f t="shared" si="142"/>
        <v>24000000</v>
      </c>
      <c r="J533" s="720"/>
      <c r="K533" s="723"/>
      <c r="L533" s="731"/>
      <c r="M533" s="731"/>
      <c r="N533" s="731"/>
      <c r="O533" s="731"/>
      <c r="P533" s="723"/>
      <c r="Q533" s="723"/>
      <c r="R533" s="723"/>
      <c r="S533" s="723"/>
      <c r="T533" s="723"/>
      <c r="U533" s="723"/>
      <c r="V533" s="723"/>
      <c r="W533" s="723"/>
    </row>
    <row r="534" spans="1:23">
      <c r="A534" s="631"/>
      <c r="B534" s="165" t="s">
        <v>273</v>
      </c>
      <c r="C534" s="161" t="s">
        <v>274</v>
      </c>
      <c r="D534" s="915">
        <f t="shared" ref="D534:I535" si="143">D278</f>
        <v>43733000</v>
      </c>
      <c r="E534" s="1407">
        <f t="shared" si="143"/>
        <v>19320000</v>
      </c>
      <c r="F534" s="1408">
        <f t="shared" si="143"/>
        <v>24000000</v>
      </c>
      <c r="G534" s="757">
        <f t="shared" si="143"/>
        <v>24000000</v>
      </c>
      <c r="H534" s="757">
        <f t="shared" si="143"/>
        <v>0</v>
      </c>
      <c r="I534" s="757">
        <f t="shared" si="143"/>
        <v>24000000</v>
      </c>
      <c r="J534" s="675"/>
      <c r="K534" s="550"/>
      <c r="L534" s="566"/>
      <c r="M534" s="566"/>
      <c r="N534" s="566"/>
      <c r="O534" s="566"/>
      <c r="P534" s="550"/>
      <c r="Q534" s="550"/>
      <c r="R534" s="550"/>
      <c r="S534" s="550"/>
      <c r="T534" s="550"/>
      <c r="U534" s="550"/>
      <c r="V534" s="550"/>
      <c r="W534" s="550"/>
    </row>
    <row r="535" spans="1:23">
      <c r="A535" s="631"/>
      <c r="B535" s="165"/>
      <c r="C535" s="161" t="s">
        <v>483</v>
      </c>
      <c r="D535" s="915">
        <f t="shared" si="143"/>
        <v>0</v>
      </c>
      <c r="E535" s="1407">
        <f t="shared" si="143"/>
        <v>0</v>
      </c>
      <c r="F535" s="1408">
        <f t="shared" si="143"/>
        <v>0</v>
      </c>
      <c r="G535" s="757">
        <f t="shared" si="143"/>
        <v>0</v>
      </c>
      <c r="H535" s="757">
        <f t="shared" si="143"/>
        <v>0</v>
      </c>
      <c r="I535" s="757">
        <f t="shared" si="143"/>
        <v>0</v>
      </c>
      <c r="J535" s="675"/>
      <c r="K535" s="550"/>
      <c r="L535" s="566"/>
      <c r="M535" s="566"/>
      <c r="N535" s="566"/>
      <c r="O535" s="566"/>
      <c r="P535" s="550"/>
      <c r="Q535" s="550"/>
      <c r="R535" s="550"/>
      <c r="S535" s="550"/>
      <c r="T535" s="550"/>
      <c r="U535" s="550"/>
      <c r="V535" s="550"/>
      <c r="W535" s="550"/>
    </row>
    <row r="536" spans="1:23" s="256" customFormat="1" ht="14.4">
      <c r="A536" s="253" t="s">
        <v>28</v>
      </c>
      <c r="B536" s="254" t="s">
        <v>275</v>
      </c>
      <c r="C536" s="255" t="s">
        <v>81</v>
      </c>
      <c r="D536" s="904">
        <f t="shared" ref="D536:I536" si="144">SUM(D537,D554)</f>
        <v>27892000</v>
      </c>
      <c r="E536" s="1511">
        <f t="shared" si="144"/>
        <v>26986000</v>
      </c>
      <c r="F536" s="1512">
        <f t="shared" si="144"/>
        <v>162100000</v>
      </c>
      <c r="G536" s="1736">
        <f t="shared" si="144"/>
        <v>104400000</v>
      </c>
      <c r="H536" s="1736">
        <f t="shared" si="144"/>
        <v>0</v>
      </c>
      <c r="I536" s="1736">
        <f t="shared" si="144"/>
        <v>104400000</v>
      </c>
      <c r="J536" s="720"/>
      <c r="K536" s="722"/>
      <c r="L536" s="731"/>
      <c r="M536" s="731"/>
      <c r="N536" s="731"/>
      <c r="O536" s="731"/>
      <c r="P536" s="722"/>
      <c r="Q536" s="722"/>
      <c r="R536" s="722"/>
      <c r="S536" s="722"/>
      <c r="T536" s="722"/>
      <c r="U536" s="722"/>
      <c r="V536" s="722"/>
      <c r="W536" s="722"/>
    </row>
    <row r="537" spans="1:23" s="256" customFormat="1" ht="14.4">
      <c r="A537" s="253" t="s">
        <v>276</v>
      </c>
      <c r="B537" s="274" t="s">
        <v>277</v>
      </c>
      <c r="C537" s="255" t="s">
        <v>81</v>
      </c>
      <c r="D537" s="904">
        <f t="shared" ref="D537:I537" si="145">SUM(D538:D538)</f>
        <v>23512000</v>
      </c>
      <c r="E537" s="1511">
        <f t="shared" si="145"/>
        <v>22606000</v>
      </c>
      <c r="F537" s="1512">
        <f t="shared" si="145"/>
        <v>152700000</v>
      </c>
      <c r="G537" s="1736">
        <f t="shared" si="145"/>
        <v>98200000</v>
      </c>
      <c r="H537" s="1736">
        <f t="shared" si="145"/>
        <v>0</v>
      </c>
      <c r="I537" s="1736">
        <f t="shared" si="145"/>
        <v>98200000</v>
      </c>
      <c r="J537" s="720"/>
      <c r="K537" s="722"/>
      <c r="L537" s="731"/>
      <c r="M537" s="731"/>
      <c r="N537" s="731"/>
      <c r="O537" s="731"/>
      <c r="P537" s="722"/>
      <c r="Q537" s="722"/>
      <c r="R537" s="722"/>
      <c r="S537" s="722"/>
      <c r="T537" s="722"/>
      <c r="U537" s="722"/>
      <c r="V537" s="722"/>
      <c r="W537" s="722"/>
    </row>
    <row r="538" spans="1:23" s="256" customFormat="1" ht="14.4">
      <c r="A538" s="728"/>
      <c r="B538" s="275" t="s">
        <v>273</v>
      </c>
      <c r="C538" s="255" t="s">
        <v>278</v>
      </c>
      <c r="D538" s="904">
        <f t="shared" ref="D538:I538" si="146">SUM(D539,D540:D542)</f>
        <v>23512000</v>
      </c>
      <c r="E538" s="1511">
        <f t="shared" si="146"/>
        <v>22606000</v>
      </c>
      <c r="F538" s="1512">
        <f t="shared" si="146"/>
        <v>152700000</v>
      </c>
      <c r="G538" s="1736">
        <f t="shared" si="146"/>
        <v>98200000</v>
      </c>
      <c r="H538" s="1736">
        <f t="shared" si="146"/>
        <v>0</v>
      </c>
      <c r="I538" s="1736">
        <f t="shared" si="146"/>
        <v>98200000</v>
      </c>
      <c r="J538" s="720"/>
      <c r="K538" s="722"/>
      <c r="L538" s="722"/>
      <c r="M538" s="722"/>
      <c r="N538" s="722"/>
      <c r="O538" s="722"/>
      <c r="P538" s="722"/>
      <c r="Q538" s="722"/>
      <c r="R538" s="722"/>
      <c r="S538" s="722"/>
      <c r="T538" s="722"/>
      <c r="U538" s="722"/>
      <c r="V538" s="722"/>
      <c r="W538" s="722"/>
    </row>
    <row r="539" spans="1:23" s="155" customFormat="1">
      <c r="A539" s="661"/>
      <c r="B539" s="231" t="s">
        <v>625</v>
      </c>
      <c r="C539" s="161" t="s">
        <v>278</v>
      </c>
      <c r="D539" s="919">
        <f t="shared" ref="D539:I541" si="147">D283</f>
        <v>2396000</v>
      </c>
      <c r="E539" s="1535">
        <f t="shared" si="147"/>
        <v>2396000</v>
      </c>
      <c r="F539" s="1536">
        <f t="shared" si="147"/>
        <v>68700000</v>
      </c>
      <c r="G539" s="1751">
        <f t="shared" si="147"/>
        <v>44200000</v>
      </c>
      <c r="H539" s="1751">
        <f t="shared" si="147"/>
        <v>0</v>
      </c>
      <c r="I539" s="1751">
        <f t="shared" si="147"/>
        <v>44200000</v>
      </c>
      <c r="J539" s="675"/>
      <c r="K539" s="566"/>
      <c r="L539" s="566"/>
      <c r="M539" s="566"/>
      <c r="N539" s="566"/>
      <c r="O539" s="566"/>
      <c r="P539" s="566"/>
      <c r="Q539" s="566"/>
      <c r="R539" s="566"/>
      <c r="S539" s="566"/>
      <c r="T539" s="566"/>
      <c r="U539" s="566"/>
      <c r="V539" s="566"/>
      <c r="W539" s="566"/>
    </row>
    <row r="540" spans="1:23" s="155" customFormat="1">
      <c r="A540" s="661"/>
      <c r="B540" s="222" t="s">
        <v>626</v>
      </c>
      <c r="C540" s="161" t="s">
        <v>278</v>
      </c>
      <c r="D540" s="919">
        <f t="shared" si="147"/>
        <v>1106000</v>
      </c>
      <c r="E540" s="1535">
        <f t="shared" si="147"/>
        <v>200000</v>
      </c>
      <c r="F540" s="1536">
        <f t="shared" si="147"/>
        <v>1000000</v>
      </c>
      <c r="G540" s="1751">
        <f t="shared" si="147"/>
        <v>1000000</v>
      </c>
      <c r="H540" s="1751">
        <f t="shared" si="147"/>
        <v>0</v>
      </c>
      <c r="I540" s="1751">
        <f t="shared" si="147"/>
        <v>1000000</v>
      </c>
      <c r="J540" s="675"/>
      <c r="K540" s="566"/>
      <c r="L540" s="566"/>
      <c r="M540" s="566"/>
      <c r="N540" s="566"/>
      <c r="O540" s="566"/>
      <c r="P540" s="566"/>
      <c r="Q540" s="566"/>
      <c r="R540" s="566"/>
      <c r="S540" s="566"/>
      <c r="T540" s="566"/>
      <c r="U540" s="566"/>
      <c r="V540" s="566"/>
      <c r="W540" s="566"/>
    </row>
    <row r="541" spans="1:23" s="155" customFormat="1">
      <c r="A541" s="661"/>
      <c r="B541" s="222" t="s">
        <v>627</v>
      </c>
      <c r="C541" s="161" t="s">
        <v>278</v>
      </c>
      <c r="D541" s="919">
        <f t="shared" si="147"/>
        <v>0</v>
      </c>
      <c r="E541" s="1535">
        <f t="shared" si="147"/>
        <v>0</v>
      </c>
      <c r="F541" s="1536">
        <f t="shared" si="147"/>
        <v>0</v>
      </c>
      <c r="G541" s="1751">
        <f t="shared" si="147"/>
        <v>0</v>
      </c>
      <c r="H541" s="1751">
        <f t="shared" si="147"/>
        <v>0</v>
      </c>
      <c r="I541" s="1751">
        <f t="shared" si="147"/>
        <v>0</v>
      </c>
      <c r="J541" s="675"/>
      <c r="K541" s="566"/>
      <c r="L541" s="566"/>
      <c r="M541" s="566"/>
      <c r="N541" s="566"/>
      <c r="O541" s="566"/>
      <c r="P541" s="566"/>
      <c r="Q541" s="566"/>
      <c r="R541" s="566"/>
      <c r="S541" s="566"/>
      <c r="T541" s="566"/>
      <c r="U541" s="566"/>
      <c r="V541" s="566"/>
      <c r="W541" s="566"/>
    </row>
    <row r="542" spans="1:23" s="256" customFormat="1" ht="28.8">
      <c r="A542" s="728"/>
      <c r="B542" s="262" t="s">
        <v>628</v>
      </c>
      <c r="C542" s="255" t="s">
        <v>278</v>
      </c>
      <c r="D542" s="904">
        <f t="shared" ref="D542:I542" si="148">SUM(D543:D552)</f>
        <v>20010000</v>
      </c>
      <c r="E542" s="1511">
        <f t="shared" si="148"/>
        <v>20010000</v>
      </c>
      <c r="F542" s="1512">
        <f t="shared" si="148"/>
        <v>83000000</v>
      </c>
      <c r="G542" s="1736">
        <f t="shared" si="148"/>
        <v>53000000</v>
      </c>
      <c r="H542" s="1736">
        <f t="shared" si="148"/>
        <v>0</v>
      </c>
      <c r="I542" s="1736">
        <f t="shared" si="148"/>
        <v>53000000</v>
      </c>
      <c r="J542" s="720"/>
      <c r="K542" s="722"/>
      <c r="L542" s="731"/>
      <c r="M542" s="731"/>
      <c r="N542" s="731"/>
      <c r="O542" s="731"/>
      <c r="P542" s="722"/>
      <c r="Q542" s="722"/>
      <c r="R542" s="722"/>
      <c r="S542" s="722"/>
      <c r="T542" s="722"/>
      <c r="U542" s="722"/>
      <c r="V542" s="722"/>
      <c r="W542" s="722"/>
    </row>
    <row r="543" spans="1:23" s="155" customFormat="1" ht="14.4">
      <c r="A543" s="661"/>
      <c r="B543" s="205" t="s">
        <v>155</v>
      </c>
      <c r="C543" s="620"/>
      <c r="D543" s="906"/>
      <c r="E543" s="1451"/>
      <c r="F543" s="1452"/>
      <c r="G543" s="1701"/>
      <c r="H543" s="1701"/>
      <c r="I543" s="1701"/>
      <c r="J543" s="675"/>
      <c r="K543" s="566"/>
      <c r="L543" s="566"/>
      <c r="M543" s="566"/>
      <c r="N543" s="566"/>
      <c r="O543" s="566"/>
      <c r="P543" s="566"/>
      <c r="Q543" s="566"/>
      <c r="R543" s="566"/>
      <c r="S543" s="566"/>
      <c r="T543" s="566"/>
      <c r="U543" s="566"/>
      <c r="V543" s="566"/>
      <c r="W543" s="566"/>
    </row>
    <row r="544" spans="1:23" s="155" customFormat="1" ht="14.4">
      <c r="A544" s="661"/>
      <c r="B544" s="205" t="s">
        <v>279</v>
      </c>
      <c r="C544" s="620"/>
      <c r="D544" s="906"/>
      <c r="E544" s="1451"/>
      <c r="F544" s="1452"/>
      <c r="G544" s="1701"/>
      <c r="H544" s="1701"/>
      <c r="I544" s="1701"/>
      <c r="J544" s="675"/>
      <c r="K544" s="566"/>
      <c r="L544" s="566"/>
      <c r="M544" s="566"/>
      <c r="N544" s="566"/>
      <c r="O544" s="566"/>
      <c r="P544" s="566"/>
      <c r="Q544" s="566"/>
      <c r="R544" s="566"/>
      <c r="S544" s="566"/>
      <c r="T544" s="566"/>
      <c r="U544" s="566"/>
      <c r="V544" s="566"/>
      <c r="W544" s="566"/>
    </row>
    <row r="545" spans="1:23" s="155" customFormat="1" ht="14.4">
      <c r="A545" s="661"/>
      <c r="B545" s="205" t="s">
        <v>280</v>
      </c>
      <c r="C545" s="620"/>
      <c r="D545" s="906"/>
      <c r="E545" s="1451"/>
      <c r="F545" s="1452"/>
      <c r="G545" s="1701"/>
      <c r="H545" s="1701"/>
      <c r="I545" s="1701"/>
      <c r="J545" s="675"/>
      <c r="K545" s="566"/>
      <c r="L545" s="566"/>
      <c r="M545" s="566"/>
      <c r="N545" s="566"/>
      <c r="O545" s="566"/>
      <c r="P545" s="566"/>
      <c r="Q545" s="566"/>
      <c r="R545" s="566"/>
      <c r="S545" s="566"/>
      <c r="T545" s="566"/>
      <c r="U545" s="566"/>
      <c r="V545" s="566"/>
      <c r="W545" s="566"/>
    </row>
    <row r="546" spans="1:23" s="155" customFormat="1" ht="14.4">
      <c r="A546" s="661"/>
      <c r="B546" s="205" t="s">
        <v>157</v>
      </c>
      <c r="C546" s="620"/>
      <c r="D546" s="906"/>
      <c r="E546" s="1451"/>
      <c r="F546" s="1452"/>
      <c r="G546" s="1701"/>
      <c r="H546" s="1701"/>
      <c r="I546" s="1701"/>
      <c r="J546" s="675"/>
      <c r="K546" s="566"/>
      <c r="L546" s="649"/>
      <c r="M546" s="649"/>
      <c r="N546" s="649"/>
      <c r="O546" s="649"/>
      <c r="P546" s="566"/>
      <c r="Q546" s="566"/>
      <c r="R546" s="566"/>
      <c r="S546" s="566"/>
      <c r="T546" s="566"/>
      <c r="U546" s="566"/>
      <c r="V546" s="566"/>
      <c r="W546" s="566"/>
    </row>
    <row r="547" spans="1:23" s="155" customFormat="1" ht="14.4">
      <c r="A547" s="661"/>
      <c r="B547" s="205" t="s">
        <v>158</v>
      </c>
      <c r="C547" s="620"/>
      <c r="D547" s="906"/>
      <c r="E547" s="1451"/>
      <c r="F547" s="1452"/>
      <c r="G547" s="1701"/>
      <c r="H547" s="1701"/>
      <c r="I547" s="1701"/>
      <c r="J547" s="675"/>
      <c r="K547" s="566"/>
      <c r="L547" s="649"/>
      <c r="M547" s="649"/>
      <c r="N547" s="649"/>
      <c r="O547" s="649"/>
      <c r="P547" s="566"/>
      <c r="Q547" s="566"/>
      <c r="R547" s="566"/>
      <c r="S547" s="566"/>
      <c r="T547" s="566"/>
      <c r="U547" s="566"/>
      <c r="V547" s="566"/>
      <c r="W547" s="566"/>
    </row>
    <row r="548" spans="1:23" s="155" customFormat="1" ht="14.4">
      <c r="A548" s="661"/>
      <c r="B548" s="205" t="s">
        <v>163</v>
      </c>
      <c r="C548" s="620"/>
      <c r="D548" s="906"/>
      <c r="E548" s="1451"/>
      <c r="F548" s="1452"/>
      <c r="G548" s="1701"/>
      <c r="H548" s="1701"/>
      <c r="I548" s="1701"/>
      <c r="J548" s="675"/>
      <c r="K548" s="566"/>
      <c r="L548" s="566"/>
      <c r="M548" s="566"/>
      <c r="N548" s="566"/>
      <c r="O548" s="566"/>
      <c r="P548" s="566"/>
      <c r="Q548" s="566"/>
      <c r="R548" s="566"/>
      <c r="S548" s="566"/>
      <c r="T548" s="566"/>
      <c r="U548" s="566"/>
      <c r="V548" s="566"/>
      <c r="W548" s="566"/>
    </row>
    <row r="549" spans="1:23" s="155" customFormat="1" ht="14.4">
      <c r="A549" s="661"/>
      <c r="B549" s="205" t="s">
        <v>164</v>
      </c>
      <c r="C549" s="620"/>
      <c r="D549" s="906"/>
      <c r="E549" s="1451"/>
      <c r="F549" s="1452"/>
      <c r="G549" s="1701"/>
      <c r="H549" s="1701"/>
      <c r="I549" s="1701"/>
      <c r="J549" s="675"/>
      <c r="K549" s="566"/>
      <c r="L549" s="566"/>
      <c r="M549" s="566"/>
      <c r="N549" s="566"/>
      <c r="O549" s="566"/>
      <c r="P549" s="566"/>
      <c r="Q549" s="566"/>
      <c r="R549" s="566"/>
      <c r="S549" s="566"/>
      <c r="T549" s="566"/>
      <c r="U549" s="566"/>
      <c r="V549" s="566"/>
      <c r="W549" s="566"/>
    </row>
    <row r="550" spans="1:23" s="155" customFormat="1" ht="14.4">
      <c r="A550" s="661"/>
      <c r="B550" s="205" t="s">
        <v>1013</v>
      </c>
      <c r="C550" s="620"/>
      <c r="D550" s="906">
        <f t="shared" ref="D550:I551" si="149">D294</f>
        <v>3000000</v>
      </c>
      <c r="E550" s="1451">
        <f t="shared" si="149"/>
        <v>3000000</v>
      </c>
      <c r="F550" s="1452">
        <f t="shared" si="149"/>
        <v>3000000</v>
      </c>
      <c r="G550" s="1701">
        <f t="shared" si="149"/>
        <v>3000000</v>
      </c>
      <c r="H550" s="1701">
        <f t="shared" si="149"/>
        <v>0</v>
      </c>
      <c r="I550" s="1701">
        <f t="shared" si="149"/>
        <v>3000000</v>
      </c>
      <c r="J550" s="675"/>
      <c r="K550" s="566"/>
      <c r="L550" s="566"/>
      <c r="M550" s="566"/>
      <c r="N550" s="566"/>
      <c r="O550" s="566"/>
      <c r="P550" s="566"/>
      <c r="Q550" s="566"/>
      <c r="R550" s="566"/>
      <c r="S550" s="566"/>
      <c r="T550" s="566"/>
      <c r="U550" s="566"/>
      <c r="V550" s="566"/>
      <c r="W550" s="566"/>
    </row>
    <row r="551" spans="1:23" s="155" customFormat="1" ht="14.4">
      <c r="A551" s="661"/>
      <c r="B551" s="205" t="s">
        <v>166</v>
      </c>
      <c r="C551" s="620"/>
      <c r="D551" s="915">
        <f t="shared" si="149"/>
        <v>17010000</v>
      </c>
      <c r="E551" s="1407">
        <f t="shared" si="149"/>
        <v>17010000</v>
      </c>
      <c r="F551" s="1408">
        <f t="shared" si="149"/>
        <v>80000000</v>
      </c>
      <c r="G551" s="757">
        <f t="shared" si="149"/>
        <v>50000000</v>
      </c>
      <c r="H551" s="757">
        <f t="shared" si="149"/>
        <v>0</v>
      </c>
      <c r="I551" s="757">
        <f t="shared" si="149"/>
        <v>50000000</v>
      </c>
      <c r="J551" s="675"/>
      <c r="K551" s="566"/>
      <c r="L551" s="566"/>
      <c r="M551" s="566"/>
      <c r="N551" s="566"/>
      <c r="O551" s="566"/>
      <c r="P551" s="566"/>
      <c r="Q551" s="566"/>
      <c r="R551" s="566"/>
      <c r="S551" s="566"/>
      <c r="T551" s="566"/>
      <c r="U551" s="566"/>
      <c r="V551" s="566"/>
      <c r="W551" s="566"/>
    </row>
    <row r="552" spans="1:23" s="155" customFormat="1" ht="14.4">
      <c r="A552" s="661"/>
      <c r="B552" s="205" t="s">
        <v>181</v>
      </c>
      <c r="C552" s="620"/>
      <c r="D552" s="906"/>
      <c r="E552" s="1451"/>
      <c r="F552" s="1452"/>
      <c r="G552" s="1701"/>
      <c r="H552" s="1701"/>
      <c r="I552" s="1701"/>
      <c r="J552" s="675"/>
      <c r="K552" s="566"/>
      <c r="L552" s="566"/>
      <c r="M552" s="566"/>
      <c r="N552" s="566"/>
      <c r="O552" s="566"/>
      <c r="P552" s="566"/>
      <c r="Q552" s="566"/>
      <c r="R552" s="566"/>
      <c r="S552" s="566"/>
      <c r="T552" s="566"/>
      <c r="U552" s="566"/>
      <c r="V552" s="566"/>
      <c r="W552" s="566"/>
    </row>
    <row r="553" spans="1:23" s="155" customFormat="1" ht="14.4">
      <c r="A553" s="661"/>
      <c r="B553" s="673"/>
      <c r="C553" s="620"/>
      <c r="D553" s="914"/>
      <c r="E553" s="1449"/>
      <c r="F553" s="1446"/>
      <c r="G553" s="1697"/>
      <c r="H553" s="1700"/>
      <c r="I553" s="1700"/>
      <c r="J553" s="675"/>
      <c r="K553" s="566"/>
      <c r="L553" s="566"/>
      <c r="M553" s="566"/>
      <c r="N553" s="566"/>
      <c r="O553" s="566"/>
      <c r="P553" s="566"/>
      <c r="Q553" s="566"/>
      <c r="R553" s="566"/>
      <c r="S553" s="566"/>
      <c r="T553" s="566"/>
      <c r="U553" s="566"/>
      <c r="V553" s="566"/>
      <c r="W553" s="566"/>
    </row>
    <row r="554" spans="1:23" s="256" customFormat="1" ht="14.4">
      <c r="A554" s="253" t="s">
        <v>281</v>
      </c>
      <c r="B554" s="274" t="s">
        <v>282</v>
      </c>
      <c r="C554" s="727"/>
      <c r="D554" s="904">
        <f t="shared" ref="D554:I554" si="150">SUM(D555:D555)</f>
        <v>4380000</v>
      </c>
      <c r="E554" s="1511">
        <f t="shared" si="150"/>
        <v>4380000</v>
      </c>
      <c r="F554" s="1512">
        <f t="shared" si="150"/>
        <v>9400000</v>
      </c>
      <c r="G554" s="1736">
        <f t="shared" si="150"/>
        <v>6200000</v>
      </c>
      <c r="H554" s="1736">
        <f t="shared" si="150"/>
        <v>0</v>
      </c>
      <c r="I554" s="1736">
        <f t="shared" si="150"/>
        <v>6200000</v>
      </c>
      <c r="J554" s="720"/>
      <c r="K554" s="722"/>
      <c r="L554" s="731"/>
      <c r="M554" s="731"/>
      <c r="N554" s="731"/>
      <c r="O554" s="731"/>
      <c r="P554" s="722"/>
      <c r="Q554" s="722"/>
      <c r="R554" s="722"/>
      <c r="S554" s="722"/>
      <c r="T554" s="722"/>
      <c r="U554" s="722"/>
      <c r="V554" s="722"/>
      <c r="W554" s="722"/>
    </row>
    <row r="555" spans="1:23" s="256" customFormat="1" ht="14.4">
      <c r="A555" s="728"/>
      <c r="B555" s="275" t="s">
        <v>273</v>
      </c>
      <c r="C555" s="255" t="s">
        <v>283</v>
      </c>
      <c r="D555" s="904">
        <f t="shared" ref="D555:I555" si="151">SUM(D556:D560)</f>
        <v>4380000</v>
      </c>
      <c r="E555" s="1511">
        <f t="shared" si="151"/>
        <v>4380000</v>
      </c>
      <c r="F555" s="1512">
        <f t="shared" si="151"/>
        <v>9400000</v>
      </c>
      <c r="G555" s="1736">
        <f t="shared" si="151"/>
        <v>6200000</v>
      </c>
      <c r="H555" s="1736">
        <f t="shared" si="151"/>
        <v>0</v>
      </c>
      <c r="I555" s="1736">
        <f t="shared" si="151"/>
        <v>6200000</v>
      </c>
      <c r="J555" s="720"/>
      <c r="K555" s="722"/>
      <c r="L555" s="731"/>
      <c r="M555" s="731"/>
      <c r="N555" s="731"/>
      <c r="O555" s="731"/>
      <c r="P555" s="722"/>
      <c r="Q555" s="722"/>
      <c r="R555" s="722"/>
      <c r="S555" s="722"/>
      <c r="T555" s="722"/>
      <c r="U555" s="722"/>
      <c r="V555" s="722"/>
      <c r="W555" s="722"/>
    </row>
    <row r="556" spans="1:23" s="155" customFormat="1">
      <c r="A556" s="661"/>
      <c r="B556" s="231" t="s">
        <v>625</v>
      </c>
      <c r="C556" s="161" t="s">
        <v>283</v>
      </c>
      <c r="D556" s="919">
        <f t="shared" ref="D556:I559" si="152">D300</f>
        <v>680000</v>
      </c>
      <c r="E556" s="1535">
        <f t="shared" si="152"/>
        <v>680000</v>
      </c>
      <c r="F556" s="1536">
        <f t="shared" si="152"/>
        <v>2400000</v>
      </c>
      <c r="G556" s="1751">
        <f t="shared" si="152"/>
        <v>1400000</v>
      </c>
      <c r="H556" s="1751">
        <f t="shared" si="152"/>
        <v>0</v>
      </c>
      <c r="I556" s="1751">
        <f t="shared" si="152"/>
        <v>1400000</v>
      </c>
      <c r="J556" s="675"/>
      <c r="K556" s="566"/>
      <c r="L556" s="566"/>
      <c r="M556" s="566"/>
      <c r="N556" s="566"/>
      <c r="O556" s="566"/>
      <c r="P556" s="566"/>
      <c r="Q556" s="566"/>
      <c r="R556" s="566"/>
      <c r="S556" s="566"/>
      <c r="T556" s="566"/>
      <c r="U556" s="566"/>
      <c r="V556" s="566"/>
      <c r="W556" s="566"/>
    </row>
    <row r="557" spans="1:23" s="155" customFormat="1">
      <c r="A557" s="661"/>
      <c r="B557" s="222" t="s">
        <v>627</v>
      </c>
      <c r="C557" s="161" t="s">
        <v>283</v>
      </c>
      <c r="D557" s="919">
        <f t="shared" si="152"/>
        <v>0</v>
      </c>
      <c r="E557" s="1535">
        <f t="shared" si="152"/>
        <v>0</v>
      </c>
      <c r="F557" s="1536">
        <f t="shared" si="152"/>
        <v>0</v>
      </c>
      <c r="G557" s="1751">
        <f t="shared" si="152"/>
        <v>0</v>
      </c>
      <c r="H557" s="1751">
        <f t="shared" si="152"/>
        <v>0</v>
      </c>
      <c r="I557" s="1751">
        <f t="shared" si="152"/>
        <v>0</v>
      </c>
      <c r="J557" s="675"/>
      <c r="K557" s="566"/>
      <c r="L557" s="566"/>
      <c r="M557" s="566"/>
      <c r="N557" s="566"/>
      <c r="O557" s="566"/>
      <c r="P557" s="566"/>
      <c r="Q557" s="566"/>
      <c r="R557" s="566"/>
      <c r="S557" s="566"/>
      <c r="T557" s="566"/>
      <c r="U557" s="566"/>
      <c r="V557" s="566"/>
      <c r="W557" s="566"/>
    </row>
    <row r="558" spans="1:23" s="155" customFormat="1" ht="34.5" customHeight="1">
      <c r="A558" s="661"/>
      <c r="B558" s="207" t="s">
        <v>629</v>
      </c>
      <c r="C558" s="161" t="s">
        <v>283</v>
      </c>
      <c r="D558" s="919">
        <f t="shared" si="152"/>
        <v>2000000</v>
      </c>
      <c r="E558" s="1535">
        <f t="shared" si="152"/>
        <v>2000000</v>
      </c>
      <c r="F558" s="1536">
        <f t="shared" si="152"/>
        <v>5000000</v>
      </c>
      <c r="G558" s="1751">
        <f t="shared" si="152"/>
        <v>3500000</v>
      </c>
      <c r="H558" s="1751">
        <f t="shared" si="152"/>
        <v>0</v>
      </c>
      <c r="I558" s="1751">
        <f t="shared" si="152"/>
        <v>3500000</v>
      </c>
      <c r="J558" s="675"/>
      <c r="K558" s="566"/>
      <c r="L558" s="566"/>
      <c r="M558" s="566"/>
      <c r="N558" s="566"/>
      <c r="O558" s="566"/>
      <c r="P558" s="566"/>
      <c r="Q558" s="566"/>
      <c r="R558" s="566"/>
      <c r="S558" s="566"/>
      <c r="T558" s="566"/>
      <c r="U558" s="566"/>
      <c r="V558" s="566"/>
      <c r="W558" s="566"/>
    </row>
    <row r="559" spans="1:23" s="155" customFormat="1">
      <c r="A559" s="661"/>
      <c r="B559" s="222" t="s">
        <v>626</v>
      </c>
      <c r="C559" s="161" t="s">
        <v>283</v>
      </c>
      <c r="D559" s="919">
        <f t="shared" si="152"/>
        <v>1200000</v>
      </c>
      <c r="E559" s="1535">
        <f t="shared" si="152"/>
        <v>1200000</v>
      </c>
      <c r="F559" s="1536">
        <f t="shared" si="152"/>
        <v>2000000</v>
      </c>
      <c r="G559" s="1751">
        <f t="shared" si="152"/>
        <v>1300000</v>
      </c>
      <c r="H559" s="1751">
        <f t="shared" si="152"/>
        <v>0</v>
      </c>
      <c r="I559" s="1751">
        <f t="shared" si="152"/>
        <v>1300000</v>
      </c>
      <c r="J559" s="675"/>
      <c r="K559" s="566"/>
      <c r="L559" s="566"/>
      <c r="M559" s="566"/>
      <c r="N559" s="566"/>
      <c r="O559" s="566"/>
      <c r="P559" s="566"/>
      <c r="Q559" s="566"/>
      <c r="R559" s="566"/>
      <c r="S559" s="566"/>
      <c r="T559" s="566"/>
      <c r="U559" s="566"/>
      <c r="V559" s="566"/>
      <c r="W559" s="566"/>
    </row>
    <row r="560" spans="1:23" s="256" customFormat="1" ht="28.8">
      <c r="A560" s="734"/>
      <c r="B560" s="262" t="s">
        <v>628</v>
      </c>
      <c r="C560" s="255" t="s">
        <v>283</v>
      </c>
      <c r="D560" s="904">
        <f t="shared" ref="D560:I560" si="153">SUM(D561:D570)</f>
        <v>500000</v>
      </c>
      <c r="E560" s="1511">
        <f t="shared" si="153"/>
        <v>500000</v>
      </c>
      <c r="F560" s="1512">
        <f t="shared" si="153"/>
        <v>0</v>
      </c>
      <c r="G560" s="1736">
        <f t="shared" si="153"/>
        <v>0</v>
      </c>
      <c r="H560" s="1736">
        <f t="shared" si="153"/>
        <v>0</v>
      </c>
      <c r="I560" s="1736">
        <f t="shared" si="153"/>
        <v>0</v>
      </c>
      <c r="J560" s="720"/>
      <c r="K560" s="722"/>
      <c r="L560" s="731"/>
      <c r="M560" s="731"/>
      <c r="N560" s="731"/>
      <c r="O560" s="731"/>
      <c r="P560" s="722"/>
      <c r="Q560" s="722"/>
      <c r="R560" s="722"/>
      <c r="S560" s="722"/>
      <c r="T560" s="722"/>
      <c r="U560" s="722"/>
      <c r="V560" s="722"/>
      <c r="W560" s="722"/>
    </row>
    <row r="561" spans="1:23" s="155" customFormat="1" ht="14.4">
      <c r="A561" s="679"/>
      <c r="B561" s="205" t="s">
        <v>155</v>
      </c>
      <c r="C561" s="620"/>
      <c r="D561" s="775">
        <f t="shared" ref="D561:I571" si="154">D305</f>
        <v>0</v>
      </c>
      <c r="E561" s="1499">
        <f t="shared" si="154"/>
        <v>0</v>
      </c>
      <c r="F561" s="1500">
        <f t="shared" si="154"/>
        <v>0</v>
      </c>
      <c r="G561" s="1728">
        <f t="shared" si="154"/>
        <v>0</v>
      </c>
      <c r="H561" s="1728">
        <f t="shared" si="154"/>
        <v>0</v>
      </c>
      <c r="I561" s="1728">
        <f t="shared" si="154"/>
        <v>0</v>
      </c>
      <c r="J561" s="675"/>
      <c r="K561" s="566"/>
      <c r="L561" s="566"/>
      <c r="M561" s="566"/>
      <c r="N561" s="566"/>
      <c r="O561" s="566"/>
      <c r="P561" s="566"/>
      <c r="Q561" s="566"/>
      <c r="R561" s="566"/>
      <c r="S561" s="566"/>
      <c r="T561" s="566"/>
      <c r="U561" s="566"/>
      <c r="V561" s="566"/>
      <c r="W561" s="566"/>
    </row>
    <row r="562" spans="1:23" s="155" customFormat="1" ht="14.4">
      <c r="A562" s="679"/>
      <c r="B562" s="205" t="s">
        <v>279</v>
      </c>
      <c r="C562" s="620"/>
      <c r="D562" s="775">
        <f t="shared" si="154"/>
        <v>0</v>
      </c>
      <c r="E562" s="1499">
        <f t="shared" si="154"/>
        <v>0</v>
      </c>
      <c r="F562" s="1500">
        <f t="shared" si="154"/>
        <v>0</v>
      </c>
      <c r="G562" s="1728">
        <f t="shared" si="154"/>
        <v>0</v>
      </c>
      <c r="H562" s="1728">
        <f t="shared" si="154"/>
        <v>0</v>
      </c>
      <c r="I562" s="1728">
        <f t="shared" si="154"/>
        <v>0</v>
      </c>
      <c r="J562" s="675"/>
      <c r="K562" s="566"/>
      <c r="L562" s="566"/>
      <c r="M562" s="566"/>
      <c r="N562" s="629"/>
      <c r="O562" s="566"/>
      <c r="P562" s="566"/>
      <c r="Q562" s="566"/>
      <c r="R562" s="566"/>
      <c r="S562" s="566"/>
      <c r="T562" s="566"/>
      <c r="U562" s="566"/>
      <c r="V562" s="566"/>
      <c r="W562" s="566"/>
    </row>
    <row r="563" spans="1:23" s="155" customFormat="1" ht="14.4">
      <c r="A563" s="679"/>
      <c r="B563" s="205" t="s">
        <v>157</v>
      </c>
      <c r="C563" s="620"/>
      <c r="D563" s="775">
        <f t="shared" si="154"/>
        <v>0</v>
      </c>
      <c r="E563" s="1499">
        <f t="shared" si="154"/>
        <v>0</v>
      </c>
      <c r="F563" s="1500">
        <f t="shared" si="154"/>
        <v>0</v>
      </c>
      <c r="G563" s="1728">
        <f t="shared" si="154"/>
        <v>0</v>
      </c>
      <c r="H563" s="1728">
        <f t="shared" si="154"/>
        <v>0</v>
      </c>
      <c r="I563" s="1728">
        <f t="shared" si="154"/>
        <v>0</v>
      </c>
      <c r="J563" s="675"/>
      <c r="K563" s="566"/>
      <c r="L563" s="566"/>
      <c r="M563" s="566"/>
      <c r="N563" s="566"/>
      <c r="O563" s="566"/>
      <c r="P563" s="566"/>
      <c r="Q563" s="566"/>
      <c r="R563" s="566"/>
      <c r="S563" s="566"/>
      <c r="T563" s="566"/>
      <c r="U563" s="566"/>
      <c r="V563" s="566"/>
      <c r="W563" s="566"/>
    </row>
    <row r="564" spans="1:23" s="155" customFormat="1" ht="14.4">
      <c r="A564" s="679"/>
      <c r="B564" s="205" t="s">
        <v>159</v>
      </c>
      <c r="C564" s="620"/>
      <c r="D564" s="775">
        <f t="shared" si="154"/>
        <v>0</v>
      </c>
      <c r="E564" s="1499">
        <f t="shared" si="154"/>
        <v>0</v>
      </c>
      <c r="F564" s="1500">
        <f t="shared" si="154"/>
        <v>0</v>
      </c>
      <c r="G564" s="1728">
        <f t="shared" si="154"/>
        <v>0</v>
      </c>
      <c r="H564" s="1728">
        <f t="shared" si="154"/>
        <v>0</v>
      </c>
      <c r="I564" s="1728">
        <f t="shared" si="154"/>
        <v>0</v>
      </c>
      <c r="J564" s="675"/>
      <c r="K564" s="566"/>
      <c r="L564" s="566"/>
      <c r="M564" s="566"/>
      <c r="N564" s="566"/>
      <c r="O564" s="566"/>
      <c r="P564" s="566"/>
      <c r="Q564" s="566"/>
      <c r="R564" s="566"/>
      <c r="S564" s="566"/>
      <c r="T564" s="566"/>
      <c r="U564" s="566"/>
      <c r="V564" s="566"/>
      <c r="W564" s="566"/>
    </row>
    <row r="565" spans="1:23" s="155" customFormat="1">
      <c r="A565" s="679"/>
      <c r="B565" s="205" t="s">
        <v>158</v>
      </c>
      <c r="C565" s="620"/>
      <c r="D565" s="775">
        <f t="shared" si="154"/>
        <v>0</v>
      </c>
      <c r="E565" s="1499">
        <f t="shared" si="154"/>
        <v>0</v>
      </c>
      <c r="F565" s="1500">
        <f t="shared" si="154"/>
        <v>0</v>
      </c>
      <c r="G565" s="1728">
        <f t="shared" si="154"/>
        <v>0</v>
      </c>
      <c r="H565" s="1728">
        <f t="shared" si="154"/>
        <v>0</v>
      </c>
      <c r="I565" s="1728">
        <f t="shared" si="154"/>
        <v>0</v>
      </c>
      <c r="J565" s="675"/>
      <c r="K565" s="566"/>
      <c r="L565" s="576"/>
      <c r="M565" s="576"/>
      <c r="N565" s="576"/>
      <c r="O565" s="576"/>
      <c r="P565" s="566"/>
      <c r="Q565" s="566"/>
      <c r="R565" s="566"/>
      <c r="S565" s="566"/>
      <c r="T565" s="566"/>
      <c r="U565" s="566"/>
      <c r="V565" s="566"/>
      <c r="W565" s="566"/>
    </row>
    <row r="566" spans="1:23" s="155" customFormat="1">
      <c r="A566" s="679"/>
      <c r="B566" s="205" t="s">
        <v>178</v>
      </c>
      <c r="C566" s="620"/>
      <c r="D566" s="775">
        <f t="shared" si="154"/>
        <v>0</v>
      </c>
      <c r="E566" s="1499">
        <f t="shared" si="154"/>
        <v>0</v>
      </c>
      <c r="F566" s="1500">
        <f t="shared" si="154"/>
        <v>0</v>
      </c>
      <c r="G566" s="1728">
        <f t="shared" si="154"/>
        <v>0</v>
      </c>
      <c r="H566" s="1728">
        <f t="shared" si="154"/>
        <v>0</v>
      </c>
      <c r="I566" s="1728">
        <f t="shared" si="154"/>
        <v>0</v>
      </c>
      <c r="J566" s="675"/>
      <c r="K566" s="566"/>
      <c r="L566" s="570"/>
      <c r="M566" s="570"/>
      <c r="N566" s="570"/>
      <c r="O566" s="570"/>
      <c r="P566" s="566"/>
      <c r="Q566" s="566"/>
      <c r="R566" s="566"/>
      <c r="S566" s="566"/>
      <c r="T566" s="566"/>
      <c r="U566" s="566"/>
      <c r="V566" s="566"/>
      <c r="W566" s="566"/>
    </row>
    <row r="567" spans="1:23" s="155" customFormat="1" ht="14.4">
      <c r="A567" s="679"/>
      <c r="B567" s="205" t="s">
        <v>163</v>
      </c>
      <c r="C567" s="620"/>
      <c r="D567" s="775">
        <f t="shared" si="154"/>
        <v>0</v>
      </c>
      <c r="E567" s="1499">
        <f t="shared" si="154"/>
        <v>0</v>
      </c>
      <c r="F567" s="1500">
        <f t="shared" si="154"/>
        <v>0</v>
      </c>
      <c r="G567" s="1728">
        <f t="shared" si="154"/>
        <v>0</v>
      </c>
      <c r="H567" s="1728">
        <f t="shared" si="154"/>
        <v>0</v>
      </c>
      <c r="I567" s="1728">
        <f t="shared" si="154"/>
        <v>0</v>
      </c>
      <c r="J567" s="675"/>
      <c r="K567" s="566"/>
      <c r="L567" s="557"/>
      <c r="M567" s="557"/>
      <c r="N567" s="557"/>
      <c r="O567" s="557"/>
      <c r="P567" s="566"/>
      <c r="Q567" s="566"/>
      <c r="R567" s="566"/>
      <c r="S567" s="566"/>
      <c r="T567" s="566"/>
      <c r="U567" s="566"/>
      <c r="V567" s="566"/>
      <c r="W567" s="566"/>
    </row>
    <row r="568" spans="1:23" s="155" customFormat="1" ht="14.4">
      <c r="A568" s="679"/>
      <c r="B568" s="205" t="s">
        <v>285</v>
      </c>
      <c r="C568" s="620"/>
      <c r="D568" s="775">
        <f t="shared" si="154"/>
        <v>0</v>
      </c>
      <c r="E568" s="1499">
        <f t="shared" si="154"/>
        <v>0</v>
      </c>
      <c r="F568" s="1500">
        <f t="shared" si="154"/>
        <v>0</v>
      </c>
      <c r="G568" s="1728">
        <f t="shared" si="154"/>
        <v>0</v>
      </c>
      <c r="H568" s="1728">
        <f t="shared" si="154"/>
        <v>0</v>
      </c>
      <c r="I568" s="1728">
        <f t="shared" si="154"/>
        <v>0</v>
      </c>
      <c r="J568" s="675"/>
      <c r="K568" s="566"/>
      <c r="L568" s="557"/>
      <c r="M568" s="557"/>
      <c r="N568" s="557"/>
      <c r="O568" s="557"/>
      <c r="P568" s="566"/>
      <c r="Q568" s="566"/>
      <c r="R568" s="566"/>
      <c r="S568" s="566"/>
      <c r="T568" s="566"/>
      <c r="U568" s="566"/>
      <c r="V568" s="566"/>
      <c r="W568" s="566"/>
    </row>
    <row r="569" spans="1:23" s="155" customFormat="1" ht="14.4">
      <c r="A569" s="679"/>
      <c r="B569" s="205" t="s">
        <v>167</v>
      </c>
      <c r="C569" s="620"/>
      <c r="D569" s="775">
        <f t="shared" si="154"/>
        <v>0</v>
      </c>
      <c r="E569" s="1499">
        <f t="shared" si="154"/>
        <v>0</v>
      </c>
      <c r="F569" s="1500">
        <f t="shared" si="154"/>
        <v>0</v>
      </c>
      <c r="G569" s="1728">
        <f t="shared" si="154"/>
        <v>0</v>
      </c>
      <c r="H569" s="1728">
        <f t="shared" si="154"/>
        <v>0</v>
      </c>
      <c r="I569" s="1728">
        <f t="shared" si="154"/>
        <v>0</v>
      </c>
      <c r="J569" s="675"/>
      <c r="K569" s="566"/>
      <c r="L569" s="683"/>
      <c r="M569" s="557"/>
      <c r="N569" s="557"/>
      <c r="O569" s="557"/>
      <c r="P569" s="566"/>
      <c r="Q569" s="566"/>
      <c r="R569" s="566"/>
      <c r="S569" s="566"/>
      <c r="T569" s="566"/>
      <c r="U569" s="566"/>
      <c r="V569" s="566"/>
      <c r="W569" s="566"/>
    </row>
    <row r="570" spans="1:23" s="155" customFormat="1" ht="14.4">
      <c r="A570" s="679"/>
      <c r="B570" s="205" t="s">
        <v>181</v>
      </c>
      <c r="C570" s="620"/>
      <c r="D570" s="775">
        <f t="shared" si="154"/>
        <v>500000</v>
      </c>
      <c r="E570" s="1499">
        <f t="shared" si="154"/>
        <v>500000</v>
      </c>
      <c r="F570" s="1500">
        <f t="shared" si="154"/>
        <v>0</v>
      </c>
      <c r="G570" s="1728">
        <f t="shared" si="154"/>
        <v>0</v>
      </c>
      <c r="H570" s="1728">
        <f t="shared" si="154"/>
        <v>0</v>
      </c>
      <c r="I570" s="1728">
        <f t="shared" si="154"/>
        <v>0</v>
      </c>
      <c r="J570" s="675"/>
      <c r="K570" s="566"/>
      <c r="L570" s="683"/>
      <c r="M570" s="557"/>
      <c r="N570" s="557"/>
      <c r="O570" s="557"/>
      <c r="P570" s="566"/>
      <c r="Q570" s="566"/>
      <c r="R570" s="566"/>
      <c r="S570" s="566"/>
      <c r="T570" s="566"/>
      <c r="U570" s="566"/>
      <c r="V570" s="566"/>
      <c r="W570" s="566"/>
    </row>
    <row r="571" spans="1:23" s="155" customFormat="1" ht="14.4">
      <c r="A571" s="679"/>
      <c r="B571" s="665"/>
      <c r="C571" s="620"/>
      <c r="D571" s="775">
        <f t="shared" si="154"/>
        <v>0</v>
      </c>
      <c r="E571" s="1499">
        <f t="shared" si="154"/>
        <v>0</v>
      </c>
      <c r="F571" s="1500">
        <f t="shared" si="154"/>
        <v>0</v>
      </c>
      <c r="G571" s="1728">
        <f t="shared" si="154"/>
        <v>0</v>
      </c>
      <c r="H571" s="1728">
        <f t="shared" si="154"/>
        <v>0</v>
      </c>
      <c r="I571" s="1728">
        <f t="shared" si="154"/>
        <v>0</v>
      </c>
      <c r="J571" s="675"/>
      <c r="K571" s="566"/>
      <c r="L571" s="683"/>
      <c r="M571" s="684"/>
      <c r="N571" s="557"/>
      <c r="O571" s="557"/>
      <c r="P571" s="566"/>
      <c r="Q571" s="566"/>
      <c r="R571" s="566"/>
      <c r="S571" s="566"/>
      <c r="T571" s="566"/>
      <c r="U571" s="566"/>
      <c r="V571" s="566"/>
      <c r="W571" s="566"/>
    </row>
    <row r="572" spans="1:23" s="252" customFormat="1">
      <c r="A572" s="244" t="s">
        <v>29</v>
      </c>
      <c r="B572" s="270" t="s">
        <v>288</v>
      </c>
      <c r="C572" s="246" t="s">
        <v>115</v>
      </c>
      <c r="D572" s="902">
        <f t="shared" ref="D572:I572" si="155">SUM(D574,D576,D578,D580)</f>
        <v>915783000</v>
      </c>
      <c r="E572" s="1495">
        <f t="shared" si="155"/>
        <v>915783000</v>
      </c>
      <c r="F572" s="1496">
        <f t="shared" si="155"/>
        <v>922378500</v>
      </c>
      <c r="G572" s="1727">
        <f t="shared" si="155"/>
        <v>922379000</v>
      </c>
      <c r="H572" s="1727">
        <f t="shared" si="155"/>
        <v>0</v>
      </c>
      <c r="I572" s="1727">
        <f t="shared" si="155"/>
        <v>922379000</v>
      </c>
      <c r="J572" s="720"/>
      <c r="K572" s="721"/>
      <c r="L572" s="732"/>
      <c r="M572" s="733"/>
      <c r="N572" s="733"/>
      <c r="O572" s="733"/>
      <c r="P572" s="721"/>
      <c r="Q572" s="721"/>
      <c r="R572" s="721"/>
      <c r="S572" s="721"/>
      <c r="T572" s="721"/>
      <c r="U572" s="721"/>
      <c r="V572" s="721"/>
      <c r="W572" s="721"/>
    </row>
    <row r="573" spans="1:23" s="183" customFormat="1">
      <c r="A573" s="628"/>
      <c r="B573" s="181" t="s">
        <v>289</v>
      </c>
      <c r="C573" s="681"/>
      <c r="D573" s="903"/>
      <c r="E573" s="1431"/>
      <c r="F573" s="1432"/>
      <c r="G573" s="1688"/>
      <c r="H573" s="1688"/>
      <c r="I573" s="1688"/>
      <c r="J573" s="675"/>
      <c r="K573" s="570"/>
      <c r="L573" s="683"/>
      <c r="M573" s="557"/>
      <c r="N573" s="565"/>
      <c r="O573" s="557"/>
      <c r="P573" s="570"/>
      <c r="Q573" s="570"/>
      <c r="R573" s="570"/>
      <c r="S573" s="570"/>
      <c r="T573" s="570"/>
      <c r="U573" s="570"/>
      <c r="V573" s="570"/>
      <c r="W573" s="570"/>
    </row>
    <row r="574" spans="1:23" s="142" customFormat="1" ht="15" customHeight="1">
      <c r="A574" s="679"/>
      <c r="B574" s="160" t="s">
        <v>290</v>
      </c>
      <c r="C574" s="682"/>
      <c r="D574" s="920">
        <f t="shared" ref="D574:I574" si="156">D318</f>
        <v>146341000</v>
      </c>
      <c r="E574" s="1537">
        <f t="shared" si="156"/>
        <v>146341000</v>
      </c>
      <c r="F574" s="1538">
        <f t="shared" si="156"/>
        <v>146341000</v>
      </c>
      <c r="G574" s="1752">
        <f t="shared" si="156"/>
        <v>146341000</v>
      </c>
      <c r="H574" s="1752">
        <f t="shared" si="156"/>
        <v>0</v>
      </c>
      <c r="I574" s="1752">
        <f t="shared" si="156"/>
        <v>146341000</v>
      </c>
      <c r="J574" s="675"/>
      <c r="K574" s="557"/>
      <c r="L574" s="683"/>
      <c r="M574" s="557"/>
      <c r="N574" s="565"/>
      <c r="O574" s="557"/>
      <c r="P574" s="557"/>
      <c r="Q574" s="557"/>
      <c r="R574" s="557"/>
      <c r="S574" s="557"/>
      <c r="T574" s="557"/>
      <c r="U574" s="557"/>
      <c r="V574" s="557"/>
      <c r="W574" s="557"/>
    </row>
    <row r="575" spans="1:23" s="142" customFormat="1" ht="15.75" customHeight="1">
      <c r="A575" s="679"/>
      <c r="B575" s="685"/>
      <c r="C575" s="682"/>
      <c r="D575" s="921"/>
      <c r="E575" s="1480"/>
      <c r="F575" s="1481"/>
      <c r="G575" s="1720"/>
      <c r="H575" s="1720"/>
      <c r="I575" s="1720"/>
      <c r="J575" s="675"/>
      <c r="K575" s="557"/>
      <c r="L575" s="683"/>
      <c r="M575" s="557"/>
      <c r="N575" s="565"/>
      <c r="O575" s="557"/>
      <c r="P575" s="557"/>
      <c r="Q575" s="557"/>
      <c r="R575" s="557"/>
      <c r="S575" s="557"/>
      <c r="T575" s="557"/>
      <c r="U575" s="557"/>
      <c r="V575" s="557"/>
      <c r="W575" s="557"/>
    </row>
    <row r="576" spans="1:23" s="142" customFormat="1" ht="14.4">
      <c r="A576" s="679"/>
      <c r="B576" s="160" t="s">
        <v>291</v>
      </c>
      <c r="C576" s="682"/>
      <c r="D576" s="920">
        <f t="shared" ref="D576:I576" si="157">D320</f>
        <v>3659000</v>
      </c>
      <c r="E576" s="1537">
        <f t="shared" si="157"/>
        <v>3659000</v>
      </c>
      <c r="F576" s="1538">
        <f t="shared" si="157"/>
        <v>3659000</v>
      </c>
      <c r="G576" s="1752">
        <f t="shared" si="157"/>
        <v>3659000</v>
      </c>
      <c r="H576" s="1752">
        <f t="shared" si="157"/>
        <v>0</v>
      </c>
      <c r="I576" s="1752">
        <f t="shared" si="157"/>
        <v>3659000</v>
      </c>
      <c r="J576" s="675"/>
      <c r="K576" s="557"/>
      <c r="L576" s="557"/>
      <c r="M576" s="684"/>
      <c r="N576" s="565"/>
      <c r="O576" s="557"/>
      <c r="P576" s="557"/>
      <c r="Q576" s="557"/>
      <c r="R576" s="557"/>
      <c r="S576" s="557"/>
      <c r="T576" s="557"/>
      <c r="U576" s="557"/>
      <c r="V576" s="557"/>
      <c r="W576" s="557"/>
    </row>
    <row r="577" spans="1:23" s="142" customFormat="1" ht="14.4">
      <c r="A577" s="679"/>
      <c r="B577" s="685"/>
      <c r="C577" s="682"/>
      <c r="D577" s="921"/>
      <c r="E577" s="1480"/>
      <c r="F577" s="1481"/>
      <c r="G577" s="1720"/>
      <c r="H577" s="1720"/>
      <c r="I577" s="1720"/>
      <c r="J577" s="675"/>
      <c r="K577" s="557"/>
      <c r="L577" s="557"/>
      <c r="M577" s="557"/>
      <c r="N577" s="557"/>
      <c r="O577" s="557"/>
      <c r="P577" s="557"/>
      <c r="Q577" s="557"/>
      <c r="R577" s="557"/>
      <c r="S577" s="557"/>
      <c r="T577" s="557"/>
      <c r="U577" s="557"/>
      <c r="V577" s="557"/>
      <c r="W577" s="557"/>
    </row>
    <row r="578" spans="1:23" s="142" customFormat="1" ht="14.4">
      <c r="A578" s="679"/>
      <c r="B578" s="160" t="s">
        <v>292</v>
      </c>
      <c r="C578" s="682"/>
      <c r="D578" s="920">
        <f t="shared" ref="D578:I578" si="158">D322</f>
        <v>747105000</v>
      </c>
      <c r="E578" s="1537">
        <f t="shared" si="158"/>
        <v>747105000</v>
      </c>
      <c r="F578" s="1538">
        <f t="shared" si="158"/>
        <v>753540000</v>
      </c>
      <c r="G578" s="1752">
        <f t="shared" si="158"/>
        <v>753540000</v>
      </c>
      <c r="H578" s="1752">
        <f t="shared" si="158"/>
        <v>0</v>
      </c>
      <c r="I578" s="1752">
        <f t="shared" si="158"/>
        <v>753540000</v>
      </c>
      <c r="J578" s="675"/>
      <c r="K578" s="557"/>
      <c r="L578" s="232" t="s">
        <v>293</v>
      </c>
      <c r="M578" s="233" t="e">
        <f>"$#ODWOŁANIE$#ODWOŁANIE"*0.025</f>
        <v>#VALUE!</v>
      </c>
      <c r="N578" s="686"/>
      <c r="O578" s="764">
        <f>H574*0.025</f>
        <v>0</v>
      </c>
      <c r="P578" s="764">
        <f>I574*0.025</f>
        <v>3658525</v>
      </c>
      <c r="Q578" s="765" t="e">
        <f>#REF!*0.025</f>
        <v>#REF!</v>
      </c>
      <c r="R578" s="557"/>
      <c r="S578" s="557"/>
      <c r="T578" s="557"/>
      <c r="U578" s="557"/>
      <c r="V578" s="557"/>
      <c r="W578" s="557"/>
    </row>
    <row r="579" spans="1:23" s="183" customFormat="1">
      <c r="A579" s="628"/>
      <c r="B579" s="673"/>
      <c r="C579" s="620"/>
      <c r="D579" s="921"/>
      <c r="E579" s="1480"/>
      <c r="F579" s="1481"/>
      <c r="G579" s="1720"/>
      <c r="H579" s="1720"/>
      <c r="I579" s="1720"/>
      <c r="J579" s="675"/>
      <c r="K579" s="570"/>
      <c r="L579" s="691"/>
      <c r="M579" s="234" t="e">
        <f>"$#ODWOŁANIE$#ODWOŁANIE"*0.025</f>
        <v>#VALUE!</v>
      </c>
      <c r="N579" s="687"/>
      <c r="O579" s="766">
        <f>H578*0.025</f>
        <v>0</v>
      </c>
      <c r="P579" s="766">
        <f>I578*0.025</f>
        <v>18838500</v>
      </c>
      <c r="Q579" s="767" t="e">
        <f>#REF!*0.025</f>
        <v>#REF!</v>
      </c>
      <c r="R579" s="570"/>
      <c r="S579" s="570"/>
      <c r="T579" s="570"/>
      <c r="U579" s="570"/>
      <c r="V579" s="570"/>
      <c r="W579" s="570"/>
    </row>
    <row r="580" spans="1:23" s="142" customFormat="1">
      <c r="A580" s="679"/>
      <c r="B580" s="160" t="s">
        <v>294</v>
      </c>
      <c r="C580" s="682"/>
      <c r="D580" s="920">
        <f t="shared" ref="D580:I580" si="159">D324</f>
        <v>18678000</v>
      </c>
      <c r="E580" s="1537">
        <f t="shared" si="159"/>
        <v>18678000</v>
      </c>
      <c r="F580" s="1538">
        <f t="shared" si="159"/>
        <v>18838500</v>
      </c>
      <c r="G580" s="1752">
        <f t="shared" si="159"/>
        <v>18839000</v>
      </c>
      <c r="H580" s="1752">
        <f t="shared" si="159"/>
        <v>0</v>
      </c>
      <c r="I580" s="1752">
        <f t="shared" si="159"/>
        <v>18839000</v>
      </c>
      <c r="J580" s="675"/>
      <c r="K580" s="557"/>
      <c r="L580" s="571"/>
      <c r="M580" s="571"/>
      <c r="N580" s="571"/>
      <c r="O580" s="688"/>
      <c r="P580" s="557"/>
      <c r="Q580" s="557"/>
      <c r="R580" s="557"/>
      <c r="S580" s="557"/>
      <c r="T580" s="557"/>
      <c r="U580" s="557"/>
      <c r="V580" s="557"/>
      <c r="W580" s="557"/>
    </row>
    <row r="581" spans="1:23" s="142" customFormat="1" ht="14.4">
      <c r="A581" s="679"/>
      <c r="B581" s="685"/>
      <c r="C581" s="682"/>
      <c r="D581" s="921"/>
      <c r="E581" s="1480"/>
      <c r="F581" s="1481"/>
      <c r="G581" s="1720"/>
      <c r="H581" s="1720"/>
      <c r="I581" s="1720"/>
      <c r="J581" s="675"/>
      <c r="K581" s="557"/>
      <c r="L581" s="689"/>
      <c r="M581" s="689"/>
      <c r="N581" s="689"/>
      <c r="O581" s="689"/>
      <c r="P581" s="557"/>
      <c r="Q581" s="557"/>
      <c r="R581" s="557"/>
      <c r="S581" s="557"/>
      <c r="T581" s="557"/>
      <c r="U581" s="557"/>
      <c r="V581" s="557"/>
      <c r="W581" s="557"/>
    </row>
    <row r="582" spans="1:23" s="279" customFormat="1">
      <c r="A582" s="276" t="s">
        <v>31</v>
      </c>
      <c r="B582" s="277" t="s">
        <v>73</v>
      </c>
      <c r="C582" s="278" t="s">
        <v>81</v>
      </c>
      <c r="D582" s="922">
        <f t="shared" ref="D582:I582" si="160">SUM(D584:D585)</f>
        <v>4140000</v>
      </c>
      <c r="E582" s="1539">
        <f t="shared" si="160"/>
        <v>4118000</v>
      </c>
      <c r="F582" s="1540">
        <f t="shared" si="160"/>
        <v>1650000</v>
      </c>
      <c r="G582" s="1753">
        <f t="shared" si="160"/>
        <v>1650000</v>
      </c>
      <c r="H582" s="1753">
        <f t="shared" si="160"/>
        <v>0</v>
      </c>
      <c r="I582" s="1753">
        <f t="shared" si="160"/>
        <v>1650000</v>
      </c>
      <c r="J582" s="720"/>
      <c r="K582" s="736"/>
      <c r="L582" s="735"/>
      <c r="M582" s="731"/>
      <c r="N582" s="731"/>
      <c r="O582" s="735"/>
      <c r="P582" s="736"/>
      <c r="Q582" s="736"/>
      <c r="R582" s="736"/>
      <c r="S582" s="736"/>
      <c r="T582" s="736"/>
      <c r="U582" s="736"/>
      <c r="V582" s="736"/>
      <c r="W582" s="736"/>
    </row>
    <row r="583" spans="1:23" s="142" customFormat="1">
      <c r="A583" s="628"/>
      <c r="B583" s="181" t="s">
        <v>295</v>
      </c>
      <c r="C583" s="681"/>
      <c r="D583" s="923"/>
      <c r="E583" s="1478"/>
      <c r="F583" s="1479"/>
      <c r="G583" s="1719"/>
      <c r="H583" s="1719"/>
      <c r="I583" s="1719"/>
      <c r="J583" s="675"/>
      <c r="K583" s="557"/>
      <c r="L583" s="566"/>
      <c r="M583" s="566"/>
      <c r="N583" s="566"/>
      <c r="O583" s="566"/>
      <c r="P583" s="557"/>
      <c r="Q583" s="557"/>
      <c r="R583" s="557"/>
      <c r="S583" s="557"/>
      <c r="T583" s="557"/>
      <c r="U583" s="557"/>
      <c r="V583" s="557"/>
      <c r="W583" s="557"/>
    </row>
    <row r="584" spans="1:23" s="142" customFormat="1">
      <c r="A584" s="628"/>
      <c r="B584" s="181" t="s">
        <v>296</v>
      </c>
      <c r="C584" s="161" t="s">
        <v>136</v>
      </c>
      <c r="D584" s="919">
        <f t="shared" ref="D584:I585" si="161">D328</f>
        <v>2621000</v>
      </c>
      <c r="E584" s="1535">
        <f t="shared" si="161"/>
        <v>2600000</v>
      </c>
      <c r="F584" s="1536">
        <f t="shared" si="161"/>
        <v>200000</v>
      </c>
      <c r="G584" s="1751">
        <f t="shared" si="161"/>
        <v>200000</v>
      </c>
      <c r="H584" s="1751">
        <f t="shared" si="161"/>
        <v>0</v>
      </c>
      <c r="I584" s="1751">
        <f t="shared" si="161"/>
        <v>200000</v>
      </c>
      <c r="J584" s="675"/>
      <c r="K584" s="557"/>
      <c r="L584" s="566"/>
      <c r="M584" s="566"/>
      <c r="N584" s="566"/>
      <c r="O584" s="163" t="s">
        <v>297</v>
      </c>
      <c r="P584" s="557"/>
      <c r="Q584" s="557"/>
      <c r="R584" s="557"/>
      <c r="S584" s="557"/>
      <c r="T584" s="557"/>
      <c r="U584" s="557"/>
      <c r="V584" s="557"/>
      <c r="W584" s="557"/>
    </row>
    <row r="585" spans="1:23" s="142" customFormat="1" ht="16.2" thickBot="1">
      <c r="A585" s="739"/>
      <c r="B585" s="280" t="s">
        <v>298</v>
      </c>
      <c r="C585" s="281" t="s">
        <v>299</v>
      </c>
      <c r="D585" s="924">
        <f t="shared" si="161"/>
        <v>1519000</v>
      </c>
      <c r="E585" s="1541">
        <f t="shared" si="161"/>
        <v>1518000</v>
      </c>
      <c r="F585" s="1542">
        <f t="shared" si="161"/>
        <v>1450000</v>
      </c>
      <c r="G585" s="1754">
        <f t="shared" si="161"/>
        <v>1450000</v>
      </c>
      <c r="H585" s="1754">
        <f t="shared" si="161"/>
        <v>0</v>
      </c>
      <c r="I585" s="1754">
        <f t="shared" si="161"/>
        <v>1450000</v>
      </c>
      <c r="J585" s="675"/>
      <c r="K585" s="557"/>
      <c r="L585" s="566"/>
      <c r="M585" s="565"/>
      <c r="N585" s="566"/>
      <c r="O585" s="566"/>
      <c r="P585" s="557"/>
      <c r="Q585" s="557"/>
      <c r="R585" s="557"/>
      <c r="S585" s="557"/>
      <c r="T585" s="557"/>
      <c r="U585" s="557"/>
      <c r="V585" s="557"/>
      <c r="W585" s="557"/>
    </row>
    <row r="586" spans="1:23">
      <c r="A586" s="740"/>
      <c r="B586" s="713"/>
      <c r="C586" s="714"/>
      <c r="D586" s="714"/>
      <c r="E586" s="1360"/>
      <c r="F586" s="1543"/>
      <c r="G586" s="1755"/>
      <c r="H586" s="1755"/>
      <c r="I586" s="1755"/>
      <c r="J586" s="675"/>
      <c r="K586" s="550"/>
      <c r="L586" s="550"/>
      <c r="M586" s="550"/>
      <c r="N586" s="550"/>
      <c r="O586" s="550"/>
      <c r="P586" s="550"/>
      <c r="Q586" s="550"/>
      <c r="R586" s="550"/>
      <c r="S586" s="550"/>
      <c r="T586" s="550"/>
      <c r="U586" s="550"/>
      <c r="V586" s="550"/>
      <c r="W586" s="550"/>
    </row>
    <row r="587" spans="1:23" ht="18.600000000000001" thickBot="1">
      <c r="A587" s="282" t="s">
        <v>311</v>
      </c>
      <c r="B587" s="741"/>
      <c r="C587" s="741"/>
      <c r="D587" s="741"/>
      <c r="E587" s="1544"/>
      <c r="F587" s="1545"/>
      <c r="G587" s="1756"/>
      <c r="H587" s="1756"/>
      <c r="I587" s="1756"/>
      <c r="J587" s="675"/>
      <c r="K587" s="550"/>
      <c r="L587" s="572"/>
      <c r="M587" s="572"/>
      <c r="N587" s="572"/>
      <c r="O587" s="572"/>
      <c r="P587" s="550"/>
      <c r="Q587" s="550"/>
      <c r="R587" s="550"/>
      <c r="S587" s="550"/>
      <c r="T587" s="550"/>
      <c r="U587" s="550"/>
      <c r="V587" s="550"/>
      <c r="W587" s="550"/>
    </row>
    <row r="588" spans="1:23" s="283" customFormat="1" ht="71.25" customHeight="1" thickBot="1">
      <c r="A588" s="2197" t="s">
        <v>7</v>
      </c>
      <c r="B588" s="2198" t="s">
        <v>8</v>
      </c>
      <c r="C588" s="2198"/>
      <c r="D588" s="925"/>
      <c r="E588" s="1546" t="str">
        <f>E67</f>
        <v>Przewidywane 
wykonanie 
w 2015</v>
      </c>
      <c r="F588" s="1547" t="str">
        <f>F67</f>
        <v>Projekt planu 
na 2016 r.</v>
      </c>
      <c r="G588" s="1757" t="str">
        <f>G67</f>
        <v>Plan wg Ustawy Budżetowej 
na 2016 r.</v>
      </c>
      <c r="H588" s="1757" t="str">
        <f>H67</f>
        <v xml:space="preserve">Zmiany  </v>
      </c>
      <c r="I588" s="1757" t="str">
        <f>I67</f>
        <v xml:space="preserve">Plan 
po zmianach </v>
      </c>
      <c r="J588" s="749"/>
      <c r="K588" s="737"/>
      <c r="L588" s="737"/>
      <c r="M588" s="737"/>
      <c r="N588" s="737"/>
      <c r="O588" s="737"/>
      <c r="P588" s="737"/>
      <c r="Q588" s="737"/>
      <c r="R588" s="737"/>
      <c r="S588" s="737"/>
      <c r="T588" s="737"/>
      <c r="U588" s="737"/>
      <c r="V588" s="737"/>
      <c r="W588" s="737"/>
    </row>
    <row r="589" spans="1:23" s="283" customFormat="1" ht="16.5" customHeight="1" thickBot="1">
      <c r="A589" s="2197"/>
      <c r="B589" s="2198"/>
      <c r="C589" s="2198"/>
      <c r="D589" s="926"/>
      <c r="E589" s="2205" t="str">
        <f>E68</f>
        <v>w tysiącach złotych</v>
      </c>
      <c r="F589" s="2206"/>
      <c r="G589" s="2206"/>
      <c r="H589" s="2206"/>
      <c r="I589" s="2207"/>
      <c r="J589" s="749"/>
      <c r="K589" s="737"/>
      <c r="L589" s="737"/>
      <c r="M589" s="737"/>
      <c r="N589" s="737"/>
      <c r="O589" s="737"/>
      <c r="P589" s="737"/>
      <c r="Q589" s="737"/>
      <c r="R589" s="737"/>
      <c r="S589" s="737"/>
      <c r="T589" s="737"/>
      <c r="U589" s="737"/>
      <c r="V589" s="737"/>
      <c r="W589" s="737"/>
    </row>
    <row r="590" spans="1:23" ht="12.75" customHeight="1" thickBot="1">
      <c r="A590" s="595"/>
      <c r="B590" s="2196"/>
      <c r="C590" s="2196"/>
      <c r="D590" s="596"/>
      <c r="E590" s="1372"/>
      <c r="F590" s="1373"/>
      <c r="G590" s="1658"/>
      <c r="H590" s="1658"/>
      <c r="I590" s="1658"/>
      <c r="J590" s="675"/>
      <c r="K590" s="550"/>
      <c r="L590" s="550"/>
      <c r="M590" s="550"/>
      <c r="N590" s="550"/>
      <c r="O590" s="550"/>
      <c r="P590" s="550"/>
      <c r="Q590" s="550"/>
      <c r="R590" s="550"/>
      <c r="S590" s="550"/>
      <c r="T590" s="550"/>
      <c r="U590" s="550"/>
      <c r="V590" s="550"/>
      <c r="W590" s="550"/>
    </row>
    <row r="591" spans="1:23" ht="12.75" customHeight="1">
      <c r="A591" s="598"/>
      <c r="B591" s="599"/>
      <c r="C591" s="600"/>
      <c r="D591" s="600"/>
      <c r="E591" s="1548"/>
      <c r="F591" s="1549"/>
      <c r="G591" s="1758"/>
      <c r="H591" s="1758"/>
      <c r="I591" s="1758"/>
      <c r="J591" s="675"/>
      <c r="K591" s="550"/>
      <c r="L591" s="550"/>
      <c r="M591" s="550"/>
      <c r="N591" s="550"/>
      <c r="O591" s="550"/>
      <c r="P591" s="550"/>
      <c r="Q591" s="550"/>
      <c r="R591" s="550"/>
      <c r="S591" s="550"/>
      <c r="T591" s="550"/>
      <c r="U591" s="550"/>
      <c r="V591" s="550"/>
      <c r="W591" s="550"/>
    </row>
    <row r="592" spans="1:23" ht="15.75" customHeight="1">
      <c r="A592" s="631"/>
      <c r="B592" s="2202"/>
      <c r="C592" s="2202"/>
      <c r="D592" s="927"/>
      <c r="E592" s="1550"/>
      <c r="F592" s="1551"/>
      <c r="G592" s="1759"/>
      <c r="H592" s="1759"/>
      <c r="I592" s="1759"/>
      <c r="J592" s="675"/>
      <c r="K592" s="550"/>
      <c r="L592" s="550"/>
      <c r="M592" s="550"/>
      <c r="N592" s="550"/>
      <c r="O592" s="550"/>
      <c r="P592" s="550"/>
      <c r="Q592" s="550"/>
      <c r="R592" s="550"/>
      <c r="S592" s="550"/>
      <c r="T592" s="550"/>
      <c r="U592" s="550"/>
      <c r="V592" s="550"/>
      <c r="W592" s="550"/>
    </row>
    <row r="593" spans="1:23" ht="28.8">
      <c r="A593" s="239" t="s">
        <v>14</v>
      </c>
      <c r="B593" s="284" t="s">
        <v>312</v>
      </c>
      <c r="C593" s="742"/>
      <c r="D593" s="742"/>
      <c r="E593" s="1552">
        <f>SUM(E594:E599)</f>
        <v>0</v>
      </c>
      <c r="F593" s="1553">
        <f>SUM(F594:F599)</f>
        <v>0</v>
      </c>
      <c r="G593" s="1760">
        <f>SUM(G594:G599)</f>
        <v>0</v>
      </c>
      <c r="H593" s="1760">
        <f>SUM(H594:H599)</f>
        <v>0</v>
      </c>
      <c r="I593" s="1760">
        <f>SUM(I594:I599)</f>
        <v>0</v>
      </c>
      <c r="J593" s="675"/>
      <c r="K593" s="550"/>
      <c r="L593" s="550"/>
      <c r="M593" s="550"/>
      <c r="N593" s="550"/>
      <c r="O593" s="550"/>
      <c r="P593" s="550"/>
      <c r="Q593" s="550"/>
      <c r="R593" s="550"/>
      <c r="S593" s="550"/>
      <c r="T593" s="550"/>
      <c r="U593" s="550"/>
      <c r="V593" s="550"/>
      <c r="W593" s="550"/>
    </row>
    <row r="594" spans="1:23" s="195" customFormat="1">
      <c r="A594" s="164" t="s">
        <v>16</v>
      </c>
      <c r="B594" s="2199" t="s">
        <v>313</v>
      </c>
      <c r="C594" s="2199"/>
      <c r="D594" s="928"/>
      <c r="E594" s="1501"/>
      <c r="F594" s="1502"/>
      <c r="G594" s="1729"/>
      <c r="H594" s="1729"/>
      <c r="I594" s="1729"/>
      <c r="J594" s="675"/>
      <c r="K594" s="572"/>
      <c r="L594" s="572"/>
      <c r="M594" s="572"/>
      <c r="N594" s="572"/>
      <c r="O594" s="572"/>
      <c r="P594" s="572"/>
      <c r="Q594" s="572"/>
      <c r="R594" s="572"/>
      <c r="S594" s="572"/>
      <c r="T594" s="572"/>
      <c r="U594" s="572"/>
      <c r="V594" s="572"/>
      <c r="W594" s="572"/>
    </row>
    <row r="595" spans="1:23" s="195" customFormat="1">
      <c r="A595" s="164" t="s">
        <v>17</v>
      </c>
      <c r="B595" s="2199" t="s">
        <v>314</v>
      </c>
      <c r="C595" s="2199"/>
      <c r="D595" s="928"/>
      <c r="E595" s="1501"/>
      <c r="F595" s="1502"/>
      <c r="G595" s="1729"/>
      <c r="H595" s="1729"/>
      <c r="I595" s="1729"/>
      <c r="J595" s="675"/>
      <c r="K595" s="572"/>
      <c r="L595" s="572"/>
      <c r="M595" s="572"/>
      <c r="N595" s="572"/>
      <c r="O595" s="572"/>
      <c r="P595" s="572"/>
      <c r="Q595" s="572"/>
      <c r="R595" s="572"/>
      <c r="S595" s="572"/>
      <c r="T595" s="572"/>
      <c r="U595" s="572"/>
      <c r="V595" s="572"/>
      <c r="W595" s="572"/>
    </row>
    <row r="596" spans="1:23" s="195" customFormat="1" ht="15.75" customHeight="1">
      <c r="A596" s="661"/>
      <c r="B596" s="2199" t="s">
        <v>315</v>
      </c>
      <c r="C596" s="2199"/>
      <c r="D596" s="928"/>
      <c r="E596" s="1501"/>
      <c r="F596" s="1502"/>
      <c r="G596" s="1729"/>
      <c r="H596" s="1729"/>
      <c r="I596" s="1729"/>
      <c r="J596" s="675"/>
      <c r="K596" s="572"/>
      <c r="L596" s="572"/>
      <c r="M596" s="572"/>
      <c r="N596" s="572"/>
      <c r="O596" s="572"/>
      <c r="P596" s="572"/>
      <c r="Q596" s="572"/>
      <c r="R596" s="572"/>
      <c r="S596" s="572"/>
      <c r="T596" s="572"/>
      <c r="U596" s="572"/>
      <c r="V596" s="572"/>
      <c r="W596" s="572"/>
    </row>
    <row r="597" spans="1:23" s="195" customFormat="1" ht="15.75" customHeight="1">
      <c r="A597" s="164" t="s">
        <v>306</v>
      </c>
      <c r="B597" s="2199" t="s">
        <v>316</v>
      </c>
      <c r="C597" s="2199"/>
      <c r="D597" s="928"/>
      <c r="E597" s="1501"/>
      <c r="F597" s="1502"/>
      <c r="G597" s="1729"/>
      <c r="H597" s="1729"/>
      <c r="I597" s="1729"/>
      <c r="J597" s="675"/>
      <c r="K597" s="572"/>
      <c r="L597" s="572"/>
      <c r="M597" s="572"/>
      <c r="N597" s="572"/>
      <c r="O597" s="572"/>
      <c r="P597" s="572"/>
      <c r="Q597" s="572"/>
      <c r="R597" s="572"/>
      <c r="S597" s="572"/>
      <c r="T597" s="572"/>
      <c r="U597" s="572"/>
      <c r="V597" s="572"/>
      <c r="W597" s="572"/>
    </row>
    <row r="598" spans="1:23" s="195" customFormat="1" ht="15.75" customHeight="1">
      <c r="A598" s="164" t="s">
        <v>317</v>
      </c>
      <c r="B598" s="2199" t="s">
        <v>318</v>
      </c>
      <c r="C598" s="2199"/>
      <c r="D598" s="928"/>
      <c r="E598" s="1501"/>
      <c r="F598" s="1502"/>
      <c r="G598" s="1729"/>
      <c r="H598" s="1729"/>
      <c r="I598" s="1729"/>
      <c r="J598" s="675"/>
      <c r="K598" s="572"/>
      <c r="L598" s="572"/>
      <c r="M598" s="572"/>
      <c r="N598" s="572"/>
      <c r="O598" s="572"/>
      <c r="P598" s="572"/>
      <c r="Q598" s="572"/>
      <c r="R598" s="572"/>
      <c r="S598" s="572"/>
      <c r="T598" s="572"/>
      <c r="U598" s="572"/>
      <c r="V598" s="572"/>
      <c r="W598" s="572"/>
    </row>
    <row r="599" spans="1:23" s="286" customFormat="1" ht="15.75" customHeight="1" thickBot="1">
      <c r="A599" s="285" t="s">
        <v>319</v>
      </c>
      <c r="B599" s="2200" t="s">
        <v>320</v>
      </c>
      <c r="C599" s="2200"/>
      <c r="D599" s="929"/>
      <c r="E599" s="1554"/>
      <c r="F599" s="1555"/>
      <c r="G599" s="1761"/>
      <c r="H599" s="1761"/>
      <c r="I599" s="1761"/>
      <c r="J599" s="750"/>
      <c r="K599" s="738"/>
      <c r="L599" s="738"/>
      <c r="M599" s="738"/>
      <c r="N599" s="738"/>
      <c r="O599" s="738"/>
      <c r="P599" s="738"/>
      <c r="Q599" s="738"/>
      <c r="R599" s="738"/>
      <c r="S599" s="738"/>
      <c r="T599" s="738"/>
      <c r="U599" s="738"/>
      <c r="V599" s="738"/>
      <c r="W599" s="738"/>
    </row>
    <row r="600" spans="1:23" s="195" customFormat="1" ht="9" customHeight="1">
      <c r="A600" s="743"/>
      <c r="B600" s="744"/>
      <c r="C600" s="744"/>
      <c r="D600" s="744"/>
      <c r="E600" s="1556"/>
      <c r="F600" s="1557"/>
      <c r="G600" s="1762"/>
      <c r="H600" s="1762"/>
      <c r="I600" s="1762"/>
      <c r="J600" s="674"/>
      <c r="K600" s="572"/>
      <c r="L600" s="572"/>
      <c r="M600" s="572"/>
      <c r="N600" s="572"/>
      <c r="O600" s="572"/>
      <c r="P600" s="572"/>
      <c r="Q600" s="572"/>
      <c r="R600" s="572"/>
      <c r="S600" s="572"/>
      <c r="T600" s="572"/>
      <c r="U600" s="572"/>
      <c r="V600" s="572"/>
      <c r="W600" s="572"/>
    </row>
    <row r="601" spans="1:23" ht="18.600000000000001" thickBot="1">
      <c r="A601" s="282" t="s">
        <v>321</v>
      </c>
      <c r="B601" s="741"/>
      <c r="C601" s="741"/>
      <c r="D601" s="741"/>
      <c r="E601" s="1544"/>
      <c r="F601" s="1558"/>
      <c r="G601" s="1763"/>
      <c r="H601" s="1763"/>
      <c r="I601" s="1763"/>
      <c r="J601" s="675"/>
      <c r="K601" s="550"/>
      <c r="L601" s="550"/>
      <c r="M601" s="550"/>
      <c r="N601" s="550"/>
      <c r="O601" s="550"/>
      <c r="P601" s="550"/>
      <c r="Q601" s="550"/>
      <c r="R601" s="550"/>
      <c r="S601" s="550"/>
      <c r="T601" s="550"/>
      <c r="U601" s="550"/>
      <c r="V601" s="550"/>
      <c r="W601" s="550"/>
    </row>
    <row r="602" spans="1:23" s="283" customFormat="1" ht="63" customHeight="1" thickBot="1">
      <c r="A602" s="2197" t="s">
        <v>7</v>
      </c>
      <c r="B602" s="2198" t="s">
        <v>8</v>
      </c>
      <c r="C602" s="2198"/>
      <c r="D602" s="925"/>
      <c r="E602" s="1546" t="str">
        <f>E588</f>
        <v>Przewidywane 
wykonanie 
w 2015</v>
      </c>
      <c r="F602" s="1547" t="str">
        <f>F588</f>
        <v>Projekt planu 
na 2016 r.</v>
      </c>
      <c r="G602" s="1757" t="str">
        <f>G588</f>
        <v>Plan wg Ustawy Budżetowej 
na 2016 r.</v>
      </c>
      <c r="H602" s="1757" t="str">
        <f>H588</f>
        <v xml:space="preserve">Zmiany  </v>
      </c>
      <c r="I602" s="1757" t="str">
        <f>I588</f>
        <v xml:space="preserve">Plan 
po zmianach </v>
      </c>
      <c r="J602" s="749"/>
      <c r="K602" s="737"/>
      <c r="L602" s="737"/>
      <c r="M602" s="737"/>
      <c r="N602" s="737"/>
      <c r="O602" s="737"/>
      <c r="P602" s="737"/>
      <c r="Q602" s="737"/>
      <c r="R602" s="737"/>
      <c r="S602" s="737"/>
      <c r="T602" s="737"/>
      <c r="U602" s="737"/>
      <c r="V602" s="737"/>
      <c r="W602" s="737"/>
    </row>
    <row r="603" spans="1:23" s="283" customFormat="1" ht="16.5" customHeight="1" thickBot="1">
      <c r="A603" s="2197"/>
      <c r="B603" s="2198"/>
      <c r="C603" s="2198"/>
      <c r="D603" s="926"/>
      <c r="E603" s="2205" t="str">
        <f>E589</f>
        <v>w tysiącach złotych</v>
      </c>
      <c r="F603" s="2206"/>
      <c r="G603" s="2206"/>
      <c r="H603" s="2206"/>
      <c r="I603" s="2207"/>
      <c r="J603" s="749"/>
      <c r="K603" s="737"/>
      <c r="L603" s="737"/>
      <c r="M603" s="737"/>
      <c r="N603" s="737"/>
      <c r="O603" s="737"/>
      <c r="P603" s="737"/>
      <c r="Q603" s="737"/>
      <c r="R603" s="737"/>
      <c r="S603" s="737"/>
      <c r="T603" s="737"/>
      <c r="U603" s="737"/>
      <c r="V603" s="737"/>
      <c r="W603" s="737"/>
    </row>
    <row r="604" spans="1:23" ht="12.75" customHeight="1" thickBot="1">
      <c r="A604" s="140" t="s">
        <v>322</v>
      </c>
      <c r="B604" s="2196"/>
      <c r="C604" s="2196"/>
      <c r="D604" s="596"/>
      <c r="E604" s="1372"/>
      <c r="F604" s="1373"/>
      <c r="G604" s="1658"/>
      <c r="H604" s="1658"/>
      <c r="I604" s="1658"/>
      <c r="J604" s="675"/>
      <c r="K604" s="550"/>
      <c r="L604" s="550"/>
      <c r="M604" s="550"/>
      <c r="N604" s="550"/>
      <c r="O604" s="550"/>
      <c r="P604" s="550"/>
      <c r="Q604" s="550"/>
      <c r="R604" s="550"/>
      <c r="S604" s="550"/>
      <c r="T604" s="550"/>
      <c r="U604" s="550"/>
      <c r="V604" s="550"/>
      <c r="W604" s="550"/>
    </row>
    <row r="605" spans="1:23">
      <c r="A605" s="745"/>
      <c r="B605" s="599"/>
      <c r="C605" s="746"/>
      <c r="D605" s="746"/>
      <c r="E605" s="1559"/>
      <c r="F605" s="1560"/>
      <c r="G605" s="1764"/>
      <c r="H605" s="1764"/>
      <c r="I605" s="1764"/>
      <c r="J605" s="675"/>
      <c r="K605" s="550"/>
      <c r="L605" s="550"/>
      <c r="M605" s="550"/>
      <c r="N605" s="550"/>
      <c r="O605" s="550"/>
      <c r="P605" s="550"/>
      <c r="Q605" s="550"/>
      <c r="R605" s="550"/>
      <c r="S605" s="550"/>
      <c r="T605" s="550"/>
      <c r="U605" s="550"/>
      <c r="V605" s="550"/>
      <c r="W605" s="550"/>
    </row>
    <row r="606" spans="1:23" s="271" customFormat="1">
      <c r="A606" s="287" t="s">
        <v>14</v>
      </c>
      <c r="B606" s="288" t="s">
        <v>323</v>
      </c>
      <c r="C606" s="747"/>
      <c r="D606" s="747"/>
      <c r="E606" s="1561">
        <f>SUM(E607:E608)</f>
        <v>339916000</v>
      </c>
      <c r="F606" s="1562">
        <f>SUM(F607:F608)</f>
        <v>-100000</v>
      </c>
      <c r="G606" s="1765">
        <f>SUM(G607:G608)</f>
        <v>198328000</v>
      </c>
      <c r="H606" s="1765">
        <f>SUM(H607:H608)</f>
        <v>0</v>
      </c>
      <c r="I606" s="1765">
        <f>SUM(I607:I608)</f>
        <v>198328000</v>
      </c>
      <c r="J606" s="720"/>
      <c r="K606" s="730"/>
      <c r="L606" s="730"/>
      <c r="M606" s="730"/>
      <c r="N606" s="730"/>
      <c r="O606" s="730"/>
      <c r="P606" s="730"/>
      <c r="Q606" s="730"/>
      <c r="R606" s="730"/>
      <c r="S606" s="730"/>
      <c r="T606" s="730"/>
      <c r="U606" s="730"/>
      <c r="V606" s="730"/>
      <c r="W606" s="730"/>
    </row>
    <row r="607" spans="1:23">
      <c r="A607" s="239" t="s">
        <v>16</v>
      </c>
      <c r="B607" s="284" t="s">
        <v>324</v>
      </c>
      <c r="C607" s="742"/>
      <c r="D607" s="742"/>
      <c r="E607" s="1563">
        <v>239916000</v>
      </c>
      <c r="F607" s="1564">
        <f>'Pl 2014-17 PFC MF'!F607</f>
        <v>-100000</v>
      </c>
      <c r="G607" s="1766">
        <f>'Pl 2014-17 PFC MF'!G607</f>
        <v>198328000</v>
      </c>
      <c r="H607" s="1766"/>
      <c r="I607" s="1766">
        <f>H607+G607</f>
        <v>198328000</v>
      </c>
      <c r="J607" s="289" t="s">
        <v>325</v>
      </c>
      <c r="K607" s="550"/>
      <c r="L607" s="776">
        <f>K343</f>
        <v>368971000</v>
      </c>
      <c r="M607" s="776"/>
      <c r="N607" s="776">
        <f>M343</f>
        <v>0</v>
      </c>
      <c r="O607" s="776">
        <f>N343</f>
        <v>208785000</v>
      </c>
      <c r="P607" s="776" t="e">
        <f>O343</f>
        <v>#REF!</v>
      </c>
      <c r="Q607" s="550"/>
      <c r="R607" s="550"/>
      <c r="S607" s="550"/>
      <c r="T607" s="550"/>
      <c r="U607" s="550"/>
      <c r="V607" s="550"/>
      <c r="W607" s="550"/>
    </row>
    <row r="608" spans="1:23" ht="16.2" thickBot="1">
      <c r="A608" s="290" t="s">
        <v>17</v>
      </c>
      <c r="B608" s="291" t="s">
        <v>326</v>
      </c>
      <c r="C608" s="751"/>
      <c r="D608" s="813"/>
      <c r="E608" s="1565">
        <f>'Pl 2014-17 PFC MF'!E608</f>
        <v>100000000</v>
      </c>
      <c r="F608" s="1566"/>
      <c r="G608" s="1767"/>
      <c r="H608" s="1767"/>
      <c r="I608" s="1767">
        <f>'Pl 2014-17 PFC MF'!J608</f>
        <v>0</v>
      </c>
      <c r="J608" s="675"/>
      <c r="K608" s="550"/>
      <c r="L608" s="709">
        <f>L607-100000</f>
        <v>368871000</v>
      </c>
      <c r="M608" s="709"/>
      <c r="N608" s="709">
        <f>N607-100000</f>
        <v>-100000</v>
      </c>
      <c r="O608" s="709">
        <f>O607-100000</f>
        <v>208685000</v>
      </c>
      <c r="P608" s="709" t="e">
        <f>P607-100000</f>
        <v>#REF!</v>
      </c>
      <c r="Q608" s="550"/>
      <c r="R608" s="550"/>
      <c r="S608" s="550"/>
      <c r="T608" s="550"/>
      <c r="U608" s="550"/>
      <c r="V608" s="550"/>
      <c r="W608" s="550"/>
    </row>
    <row r="609" spans="1:23">
      <c r="A609" s="753"/>
      <c r="B609" s="752"/>
      <c r="C609" s="592"/>
      <c r="D609" s="592"/>
      <c r="E609" s="1567"/>
      <c r="F609" s="1568"/>
      <c r="G609" s="1768"/>
      <c r="H609" s="1768"/>
      <c r="I609" s="1768"/>
      <c r="J609" s="550"/>
      <c r="K609" s="550"/>
      <c r="L609" s="550"/>
      <c r="M609" s="550"/>
      <c r="N609" s="550"/>
      <c r="O609" s="550"/>
      <c r="P609" s="550"/>
      <c r="Q609" s="550"/>
      <c r="R609" s="550"/>
      <c r="S609" s="550"/>
      <c r="T609" s="550"/>
      <c r="U609" s="550"/>
      <c r="V609" s="550"/>
      <c r="W609" s="550"/>
    </row>
    <row r="610" spans="1:23" ht="15.75" customHeight="1">
      <c r="A610" s="753"/>
      <c r="B610" s="153" t="s">
        <v>327</v>
      </c>
      <c r="C610" s="615"/>
      <c r="D610" s="615"/>
      <c r="E610" s="1569"/>
      <c r="F610" s="1570"/>
      <c r="G610" s="1769"/>
      <c r="H610" s="1769"/>
      <c r="I610" s="1769"/>
      <c r="J610" s="675"/>
      <c r="K610" s="550"/>
      <c r="L610" s="550"/>
      <c r="M610" s="550"/>
      <c r="N610" s="550"/>
      <c r="O610" s="550"/>
      <c r="P610" s="550"/>
      <c r="Q610" s="550"/>
      <c r="R610" s="550"/>
      <c r="S610" s="550"/>
      <c r="T610" s="550"/>
      <c r="U610" s="550"/>
      <c r="V610" s="550"/>
      <c r="W610" s="550"/>
    </row>
    <row r="611" spans="1:23">
      <c r="A611" s="754"/>
      <c r="B611" s="153" t="s">
        <v>328</v>
      </c>
      <c r="C611" s="615"/>
      <c r="D611" s="615"/>
      <c r="E611" s="1569"/>
      <c r="F611" s="1570"/>
      <c r="G611" s="1769"/>
      <c r="H611" s="1769"/>
      <c r="I611" s="1769"/>
      <c r="J611" s="675"/>
      <c r="K611" s="550"/>
      <c r="L611" s="550"/>
      <c r="M611" s="550"/>
      <c r="N611" s="550"/>
      <c r="O611" s="550"/>
      <c r="P611" s="550"/>
      <c r="Q611" s="550"/>
      <c r="R611" s="550"/>
      <c r="S611" s="550"/>
      <c r="T611" s="550"/>
      <c r="U611" s="550"/>
      <c r="V611" s="550"/>
      <c r="W611" s="550"/>
    </row>
    <row r="612" spans="1:23">
      <c r="A612" s="754"/>
      <c r="B612" s="153" t="s">
        <v>329</v>
      </c>
      <c r="C612" s="615"/>
      <c r="D612" s="615"/>
      <c r="E612" s="1569"/>
      <c r="F612" s="1570"/>
      <c r="G612" s="1769"/>
      <c r="H612" s="1769"/>
      <c r="I612" s="1769"/>
      <c r="J612" s="675"/>
      <c r="K612" s="550"/>
      <c r="L612" s="550"/>
      <c r="M612" s="550"/>
      <c r="N612" s="550"/>
      <c r="O612" s="550"/>
      <c r="P612" s="550"/>
      <c r="Q612" s="550"/>
      <c r="R612" s="550"/>
      <c r="S612" s="550"/>
      <c r="T612" s="550"/>
      <c r="U612" s="550"/>
      <c r="V612" s="550"/>
      <c r="W612" s="550"/>
    </row>
    <row r="613" spans="1:23">
      <c r="A613" s="754"/>
      <c r="B613" s="153" t="s">
        <v>330</v>
      </c>
      <c r="C613" s="615"/>
      <c r="D613" s="615"/>
      <c r="E613" s="1569"/>
      <c r="F613" s="1570"/>
      <c r="G613" s="1769"/>
      <c r="H613" s="1769"/>
      <c r="I613" s="1769"/>
      <c r="J613" s="675"/>
      <c r="K613" s="550"/>
      <c r="L613" s="550"/>
      <c r="M613" s="550"/>
      <c r="N613" s="550"/>
      <c r="O613" s="550"/>
      <c r="P613" s="550"/>
      <c r="Q613" s="550"/>
      <c r="R613" s="550"/>
      <c r="S613" s="550"/>
      <c r="T613" s="550"/>
      <c r="U613" s="550"/>
      <c r="V613" s="550"/>
      <c r="W613" s="550"/>
    </row>
    <row r="614" spans="1:23">
      <c r="A614" s="754"/>
      <c r="B614" s="153" t="s">
        <v>331</v>
      </c>
      <c r="C614" s="615"/>
      <c r="D614" s="615"/>
      <c r="E614" s="1360"/>
      <c r="F614" s="1361"/>
      <c r="G614" s="1653"/>
      <c r="H614" s="1653"/>
      <c r="I614" s="1653"/>
      <c r="J614" s="675"/>
      <c r="K614" s="550"/>
      <c r="L614" s="550"/>
      <c r="M614" s="550"/>
      <c r="N614" s="550"/>
      <c r="O614" s="550"/>
      <c r="P614" s="550"/>
      <c r="Q614" s="550"/>
      <c r="R614" s="550"/>
      <c r="S614" s="550"/>
      <c r="T614" s="550"/>
      <c r="U614" s="550"/>
      <c r="V614" s="550"/>
      <c r="W614" s="550"/>
    </row>
    <row r="615" spans="1:23">
      <c r="A615" s="754"/>
      <c r="B615" s="550"/>
      <c r="C615" s="592"/>
      <c r="D615" s="592"/>
      <c r="E615" s="1360"/>
      <c r="F615" s="1361"/>
      <c r="G615" s="1653"/>
      <c r="H615" s="1653"/>
      <c r="I615" s="1653"/>
      <c r="J615" s="675"/>
      <c r="K615" s="550"/>
      <c r="L615" s="550"/>
      <c r="M615" s="550"/>
      <c r="N615" s="550"/>
      <c r="O615" s="550"/>
      <c r="P615" s="550"/>
      <c r="Q615" s="550"/>
      <c r="R615" s="550"/>
      <c r="S615" s="550"/>
      <c r="T615" s="550"/>
      <c r="U615" s="550"/>
      <c r="V615" s="550"/>
      <c r="W615" s="550"/>
    </row>
    <row r="616" spans="1:23">
      <c r="A616" s="754"/>
      <c r="B616" s="153" t="s">
        <v>332</v>
      </c>
      <c r="C616" s="592"/>
      <c r="D616" s="592"/>
      <c r="E616" s="1360"/>
      <c r="F616" s="1361"/>
      <c r="G616" s="1653"/>
      <c r="H616" s="1653"/>
      <c r="I616" s="1653"/>
      <c r="J616" s="675"/>
      <c r="K616" s="550"/>
      <c r="L616" s="550"/>
      <c r="M616" s="550"/>
      <c r="N616" s="550"/>
      <c r="O616" s="550"/>
      <c r="P616" s="550"/>
      <c r="Q616" s="550"/>
      <c r="R616" s="550"/>
      <c r="S616" s="550"/>
      <c r="T616" s="550"/>
      <c r="U616" s="550"/>
      <c r="V616" s="550"/>
      <c r="W616" s="550"/>
    </row>
    <row r="617" spans="1:23">
      <c r="A617" s="754"/>
      <c r="B617" s="294" t="s">
        <v>333</v>
      </c>
      <c r="C617" s="592"/>
      <c r="D617" s="592"/>
      <c r="E617" s="1360"/>
      <c r="F617" s="1361"/>
      <c r="G617" s="1653"/>
      <c r="H617" s="1653"/>
      <c r="I617" s="1653"/>
      <c r="J617" s="675"/>
      <c r="K617" s="550"/>
      <c r="L617" s="550"/>
      <c r="M617" s="550"/>
      <c r="N617" s="550"/>
      <c r="O617" s="550"/>
      <c r="P617" s="550"/>
      <c r="Q617" s="550"/>
      <c r="R617" s="550"/>
      <c r="S617" s="550"/>
      <c r="T617" s="550"/>
      <c r="U617" s="550"/>
      <c r="V617" s="550"/>
      <c r="W617" s="550"/>
    </row>
    <row r="618" spans="1:23">
      <c r="A618" s="754"/>
      <c r="B618" s="615"/>
      <c r="C618" s="592"/>
      <c r="D618" s="592"/>
      <c r="E618" s="1360"/>
      <c r="F618" s="1361"/>
      <c r="G618" s="1653"/>
      <c r="H618" s="1653"/>
      <c r="I618" s="1653"/>
      <c r="J618" s="675"/>
      <c r="K618" s="550"/>
      <c r="L618" s="550"/>
      <c r="M618" s="550"/>
      <c r="N618" s="550"/>
      <c r="O618" s="550"/>
      <c r="P618" s="550"/>
      <c r="Q618" s="550"/>
      <c r="R618" s="550"/>
      <c r="S618" s="550"/>
      <c r="T618" s="550"/>
      <c r="U618" s="550"/>
      <c r="V618" s="550"/>
      <c r="W618" s="550"/>
    </row>
    <row r="619" spans="1:23">
      <c r="A619" s="754"/>
      <c r="B619" s="615"/>
      <c r="C619" s="592"/>
      <c r="D619" s="592"/>
      <c r="E619" s="1360"/>
      <c r="F619" s="1361"/>
      <c r="G619" s="1653"/>
      <c r="H619" s="1653"/>
      <c r="I619" s="1653"/>
      <c r="J619" s="675"/>
      <c r="K619" s="550"/>
      <c r="L619" s="550"/>
      <c r="M619" s="550"/>
      <c r="N619" s="550"/>
      <c r="O619" s="550"/>
      <c r="P619" s="550"/>
      <c r="Q619" s="550"/>
      <c r="R619" s="550"/>
      <c r="S619" s="550"/>
      <c r="T619" s="550"/>
      <c r="U619" s="550"/>
      <c r="V619" s="550"/>
      <c r="W619" s="550"/>
    </row>
    <row r="620" spans="1:23">
      <c r="A620" s="754"/>
      <c r="B620" s="153" t="s">
        <v>334</v>
      </c>
      <c r="C620" s="592"/>
      <c r="D620" s="592"/>
      <c r="E620" s="1360"/>
      <c r="F620" s="1361"/>
      <c r="G620" s="1653"/>
      <c r="H620" s="1653"/>
      <c r="I620" s="1653"/>
      <c r="J620" s="675"/>
      <c r="K620" s="550"/>
      <c r="L620" s="550"/>
      <c r="M620" s="550"/>
      <c r="N620" s="550"/>
      <c r="O620" s="550"/>
      <c r="P620" s="550"/>
      <c r="Q620" s="550"/>
      <c r="R620" s="550"/>
      <c r="S620" s="550"/>
      <c r="T620" s="550"/>
      <c r="U620" s="550"/>
      <c r="V620" s="550"/>
      <c r="W620" s="550"/>
    </row>
    <row r="621" spans="1:23">
      <c r="A621" s="754"/>
      <c r="B621" s="615"/>
      <c r="C621" s="592"/>
      <c r="D621" s="592"/>
      <c r="E621" s="1360"/>
      <c r="F621" s="1361"/>
      <c r="G621" s="1653"/>
      <c r="H621" s="1653"/>
      <c r="I621" s="1653"/>
      <c r="J621" s="675"/>
      <c r="K621" s="550"/>
      <c r="L621" s="550"/>
      <c r="M621" s="550"/>
      <c r="N621" s="550"/>
      <c r="O621" s="550"/>
      <c r="P621" s="550"/>
      <c r="Q621" s="550"/>
      <c r="R621" s="550"/>
      <c r="S621" s="550"/>
      <c r="T621" s="550"/>
      <c r="U621" s="550"/>
      <c r="V621" s="550"/>
      <c r="W621" s="550"/>
    </row>
    <row r="622" spans="1:23">
      <c r="A622" s="754"/>
      <c r="B622" s="615"/>
      <c r="C622" s="592"/>
      <c r="D622" s="592"/>
      <c r="E622" s="1360"/>
      <c r="F622" s="1361"/>
      <c r="G622" s="1653"/>
      <c r="H622" s="1653"/>
      <c r="I622" s="1653"/>
      <c r="J622" s="675"/>
      <c r="K622" s="550"/>
      <c r="L622" s="550"/>
      <c r="M622" s="550"/>
      <c r="N622" s="550"/>
      <c r="O622" s="550"/>
      <c r="P622" s="550"/>
      <c r="Q622" s="550"/>
      <c r="R622" s="550"/>
      <c r="S622" s="550"/>
      <c r="T622" s="550"/>
      <c r="U622" s="550"/>
      <c r="V622" s="550"/>
      <c r="W622" s="550"/>
    </row>
    <row r="623" spans="1:23">
      <c r="A623" s="754"/>
      <c r="B623" s="153" t="s">
        <v>335</v>
      </c>
      <c r="C623" s="592"/>
      <c r="D623" s="592"/>
      <c r="E623" s="1360"/>
      <c r="F623" s="1361"/>
      <c r="G623" s="1653"/>
      <c r="H623" s="1653"/>
      <c r="I623" s="1653"/>
      <c r="J623" s="675"/>
      <c r="K623" s="550"/>
      <c r="L623" s="550"/>
      <c r="M623" s="550"/>
      <c r="N623" s="550"/>
      <c r="O623" s="550"/>
      <c r="P623" s="550"/>
      <c r="Q623" s="550"/>
      <c r="R623" s="550"/>
      <c r="S623" s="550"/>
      <c r="T623" s="550"/>
      <c r="U623" s="550"/>
      <c r="V623" s="550"/>
      <c r="W623" s="550"/>
    </row>
    <row r="624" spans="1:23">
      <c r="A624" s="754"/>
      <c r="B624" s="615"/>
      <c r="C624" s="592"/>
      <c r="D624" s="592"/>
      <c r="E624" s="1360"/>
      <c r="F624" s="1361"/>
      <c r="G624" s="1653"/>
      <c r="H624" s="1653"/>
      <c r="I624" s="1653"/>
      <c r="J624" s="675"/>
      <c r="K624" s="550"/>
      <c r="L624" s="550"/>
      <c r="M624" s="550"/>
      <c r="N624" s="550"/>
      <c r="O624" s="550"/>
      <c r="P624" s="550"/>
      <c r="Q624" s="550"/>
      <c r="R624" s="550"/>
      <c r="S624" s="550"/>
      <c r="T624" s="550"/>
      <c r="U624" s="550"/>
      <c r="V624" s="550"/>
      <c r="W624" s="550"/>
    </row>
    <row r="625" spans="1:23">
      <c r="A625" s="753"/>
      <c r="B625" s="752"/>
      <c r="C625" s="592"/>
      <c r="D625" s="592"/>
      <c r="E625" s="1360"/>
      <c r="F625" s="1361"/>
      <c r="G625" s="1653"/>
      <c r="H625" s="1653"/>
      <c r="I625" s="1653"/>
      <c r="J625" s="675"/>
      <c r="K625" s="550"/>
      <c r="L625" s="550"/>
      <c r="M625" s="550"/>
      <c r="N625" s="550"/>
      <c r="O625" s="550"/>
      <c r="P625" s="550"/>
      <c r="Q625" s="550"/>
      <c r="R625" s="550"/>
      <c r="S625" s="550"/>
      <c r="T625" s="550"/>
      <c r="U625" s="550"/>
      <c r="V625" s="550"/>
      <c r="W625" s="550"/>
    </row>
    <row r="626" spans="1:23">
      <c r="A626" s="753"/>
      <c r="B626" s="752"/>
      <c r="C626" s="592"/>
      <c r="D626" s="592"/>
      <c r="E626" s="1360"/>
      <c r="F626" s="1361"/>
      <c r="G626" s="1653"/>
      <c r="H626" s="1653"/>
      <c r="I626" s="1653"/>
      <c r="J626" s="675"/>
      <c r="K626" s="550"/>
      <c r="L626" s="550"/>
      <c r="M626" s="550"/>
      <c r="N626" s="550"/>
      <c r="O626" s="550"/>
      <c r="P626" s="550"/>
      <c r="Q626" s="550"/>
      <c r="R626" s="550"/>
      <c r="S626" s="550"/>
      <c r="T626" s="550"/>
      <c r="U626" s="550"/>
      <c r="V626" s="550"/>
      <c r="W626" s="550"/>
    </row>
    <row r="627" spans="1:23">
      <c r="A627" s="753"/>
      <c r="B627" s="752"/>
      <c r="C627" s="592"/>
      <c r="D627" s="592"/>
      <c r="E627" s="1360"/>
      <c r="F627" s="1361"/>
      <c r="G627" s="1653"/>
      <c r="H627" s="1653"/>
      <c r="I627" s="1653"/>
      <c r="J627" s="675"/>
      <c r="K627" s="550"/>
      <c r="L627" s="550"/>
      <c r="M627" s="550"/>
      <c r="N627" s="550"/>
      <c r="O627" s="550"/>
      <c r="P627" s="550"/>
      <c r="Q627" s="550"/>
      <c r="R627" s="550"/>
      <c r="S627" s="550"/>
      <c r="T627" s="550"/>
      <c r="U627" s="550"/>
      <c r="V627" s="550"/>
      <c r="W627" s="550"/>
    </row>
    <row r="628" spans="1:23">
      <c r="A628" s="753"/>
      <c r="B628" s="752"/>
      <c r="C628" s="592"/>
      <c r="D628" s="592"/>
      <c r="E628" s="1360"/>
      <c r="F628" s="1361"/>
      <c r="G628" s="1653"/>
      <c r="H628" s="1653"/>
      <c r="I628" s="1653"/>
      <c r="J628" s="675"/>
      <c r="K628" s="550"/>
      <c r="L628" s="550"/>
      <c r="M628" s="550"/>
      <c r="N628" s="550"/>
      <c r="O628" s="550"/>
      <c r="P628" s="550"/>
      <c r="Q628" s="550"/>
      <c r="R628" s="550"/>
      <c r="S628" s="550"/>
      <c r="T628" s="550"/>
      <c r="U628" s="550"/>
      <c r="V628" s="550"/>
      <c r="W628" s="550"/>
    </row>
    <row r="629" spans="1:23">
      <c r="A629" s="753"/>
      <c r="B629" s="752"/>
      <c r="C629" s="592"/>
      <c r="D629" s="592"/>
      <c r="E629" s="1360"/>
      <c r="F629" s="1361"/>
      <c r="G629" s="1653"/>
      <c r="H629" s="1653"/>
      <c r="I629" s="1653"/>
      <c r="J629" s="675"/>
      <c r="K629" s="550"/>
      <c r="L629" s="550"/>
      <c r="M629" s="550"/>
      <c r="N629" s="550"/>
      <c r="O629" s="550"/>
      <c r="P629" s="550"/>
      <c r="Q629" s="550"/>
      <c r="R629" s="550"/>
      <c r="S629" s="550"/>
      <c r="T629" s="550"/>
      <c r="U629" s="550"/>
      <c r="V629" s="550"/>
      <c r="W629" s="550"/>
    </row>
    <row r="630" spans="1:23">
      <c r="A630" s="753"/>
      <c r="B630" s="752"/>
      <c r="C630" s="592"/>
      <c r="D630" s="592"/>
      <c r="E630" s="1360"/>
      <c r="F630" s="1361"/>
      <c r="G630" s="1653"/>
      <c r="H630" s="1653"/>
      <c r="I630" s="1653"/>
      <c r="J630" s="675"/>
      <c r="K630" s="550"/>
      <c r="L630" s="550"/>
      <c r="M630" s="550"/>
      <c r="N630" s="550"/>
      <c r="O630" s="550"/>
      <c r="P630" s="550"/>
      <c r="Q630" s="550"/>
      <c r="R630" s="550"/>
      <c r="S630" s="550"/>
      <c r="T630" s="550"/>
      <c r="U630" s="550"/>
      <c r="V630" s="550"/>
      <c r="W630" s="550"/>
    </row>
    <row r="631" spans="1:23">
      <c r="A631" s="753"/>
      <c r="B631" s="752"/>
      <c r="C631" s="592"/>
      <c r="D631" s="592"/>
      <c r="E631" s="1360"/>
      <c r="F631" s="1361"/>
      <c r="G631" s="1653"/>
      <c r="H631" s="1653"/>
      <c r="I631" s="1653"/>
      <c r="J631" s="675"/>
      <c r="K631" s="550"/>
      <c r="L631" s="550"/>
      <c r="M631" s="550"/>
      <c r="N631" s="550"/>
      <c r="O631" s="550"/>
      <c r="P631" s="550"/>
      <c r="Q631" s="550"/>
      <c r="R631" s="550"/>
      <c r="S631" s="550"/>
      <c r="T631" s="550"/>
      <c r="U631" s="550"/>
      <c r="V631" s="550"/>
      <c r="W631" s="550"/>
    </row>
    <row r="632" spans="1:23">
      <c r="A632" s="753"/>
      <c r="B632" s="752"/>
      <c r="C632" s="592"/>
      <c r="D632" s="592"/>
      <c r="E632" s="1360"/>
      <c r="F632" s="1361"/>
      <c r="G632" s="1653"/>
      <c r="H632" s="1653"/>
      <c r="I632" s="1653"/>
      <c r="J632" s="675"/>
      <c r="K632" s="550"/>
      <c r="L632" s="550"/>
      <c r="M632" s="550"/>
      <c r="N632" s="550"/>
      <c r="O632" s="550"/>
      <c r="P632" s="550"/>
      <c r="Q632" s="550"/>
      <c r="R632" s="550"/>
      <c r="S632" s="550"/>
      <c r="T632" s="550"/>
      <c r="U632" s="550"/>
      <c r="V632" s="550"/>
      <c r="W632" s="550"/>
    </row>
    <row r="633" spans="1:23">
      <c r="A633" s="753"/>
      <c r="B633" s="752"/>
      <c r="C633" s="592"/>
      <c r="D633" s="592"/>
      <c r="E633" s="1360"/>
      <c r="F633" s="1361"/>
      <c r="G633" s="1653"/>
      <c r="H633" s="1653"/>
      <c r="I633" s="1653"/>
      <c r="J633" s="675"/>
      <c r="K633" s="550"/>
      <c r="L633" s="550"/>
      <c r="M633" s="550"/>
      <c r="N633" s="550"/>
      <c r="O633" s="550"/>
      <c r="P633" s="550"/>
      <c r="Q633" s="550"/>
      <c r="R633" s="550"/>
      <c r="S633" s="550"/>
      <c r="T633" s="550"/>
      <c r="U633" s="550"/>
      <c r="V633" s="550"/>
      <c r="W633" s="550"/>
    </row>
    <row r="634" spans="1:23">
      <c r="A634" s="753"/>
      <c r="B634" s="752"/>
      <c r="C634" s="592"/>
      <c r="D634" s="592"/>
      <c r="E634" s="1360"/>
      <c r="F634" s="1361"/>
      <c r="G634" s="1653"/>
      <c r="H634" s="1653"/>
      <c r="I634" s="1653"/>
      <c r="J634" s="675"/>
      <c r="K634" s="550"/>
      <c r="L634" s="550"/>
      <c r="M634" s="550"/>
      <c r="N634" s="550"/>
      <c r="O634" s="550"/>
      <c r="P634" s="550"/>
      <c r="Q634" s="550"/>
      <c r="R634" s="550"/>
      <c r="S634" s="550"/>
      <c r="T634" s="550"/>
      <c r="U634" s="550"/>
      <c r="V634" s="550"/>
      <c r="W634" s="550"/>
    </row>
    <row r="635" spans="1:23">
      <c r="A635" s="753"/>
      <c r="B635" s="752"/>
      <c r="C635" s="592"/>
      <c r="D635" s="592"/>
      <c r="E635" s="1360"/>
      <c r="F635" s="1361"/>
      <c r="G635" s="1653"/>
      <c r="H635" s="1653"/>
      <c r="I635" s="1653"/>
      <c r="J635" s="675"/>
      <c r="K635" s="550"/>
      <c r="L635" s="550"/>
      <c r="M635" s="550"/>
      <c r="N635" s="550"/>
      <c r="O635" s="550"/>
      <c r="P635" s="550"/>
      <c r="Q635" s="550"/>
      <c r="R635" s="550"/>
      <c r="S635" s="550"/>
      <c r="T635" s="550"/>
      <c r="U635" s="550"/>
      <c r="V635" s="550"/>
      <c r="W635" s="550"/>
    </row>
    <row r="636" spans="1:23">
      <c r="A636" s="753"/>
      <c r="B636" s="752"/>
      <c r="C636" s="592"/>
      <c r="D636" s="592"/>
      <c r="E636" s="1360"/>
      <c r="F636" s="1361"/>
      <c r="G636" s="1653"/>
      <c r="H636" s="1653"/>
      <c r="I636" s="1653"/>
      <c r="J636" s="675"/>
      <c r="K636" s="550"/>
      <c r="L636" s="550"/>
      <c r="M636" s="550"/>
      <c r="N636" s="550"/>
      <c r="O636" s="550"/>
      <c r="P636" s="550"/>
      <c r="Q636" s="550"/>
      <c r="R636" s="550"/>
      <c r="S636" s="550"/>
      <c r="T636" s="550"/>
      <c r="U636" s="550"/>
      <c r="V636" s="550"/>
      <c r="W636" s="550"/>
    </row>
    <row r="637" spans="1:23">
      <c r="A637" s="753"/>
      <c r="B637" s="752"/>
      <c r="C637" s="592"/>
      <c r="D637" s="592"/>
      <c r="E637" s="1360"/>
      <c r="F637" s="1361"/>
      <c r="G637" s="1653"/>
      <c r="H637" s="1653"/>
      <c r="I637" s="1653"/>
      <c r="J637" s="675"/>
      <c r="K637" s="550"/>
      <c r="L637" s="550"/>
      <c r="M637" s="550"/>
      <c r="N637" s="550"/>
      <c r="O637" s="550"/>
      <c r="P637" s="550"/>
      <c r="Q637" s="550"/>
      <c r="R637" s="550"/>
      <c r="S637" s="550"/>
      <c r="T637" s="550"/>
      <c r="U637" s="550"/>
      <c r="V637" s="550"/>
      <c r="W637" s="550"/>
    </row>
    <row r="638" spans="1:23">
      <c r="A638" s="753"/>
      <c r="B638" s="752"/>
      <c r="C638" s="592"/>
      <c r="D638" s="592"/>
      <c r="E638" s="1360"/>
      <c r="F638" s="1361"/>
      <c r="G638" s="1653"/>
      <c r="H638" s="1653"/>
      <c r="I638" s="1653"/>
      <c r="J638" s="675"/>
      <c r="K638" s="550"/>
      <c r="L638" s="550"/>
      <c r="M638" s="550"/>
      <c r="N638" s="550"/>
      <c r="O638" s="550"/>
      <c r="P638" s="550"/>
      <c r="Q638" s="550"/>
      <c r="R638" s="550"/>
      <c r="S638" s="550"/>
      <c r="T638" s="550"/>
      <c r="U638" s="550"/>
      <c r="V638" s="550"/>
      <c r="W638" s="550"/>
    </row>
    <row r="639" spans="1:23">
      <c r="A639" s="753"/>
      <c r="B639" s="752"/>
      <c r="C639" s="592"/>
      <c r="D639" s="592"/>
      <c r="E639" s="1360"/>
      <c r="F639" s="1361"/>
      <c r="G639" s="1653"/>
      <c r="H639" s="1653"/>
      <c r="I639" s="1653"/>
      <c r="J639" s="675"/>
      <c r="K639" s="550"/>
      <c r="L639" s="550"/>
      <c r="M639" s="550"/>
      <c r="N639" s="550"/>
      <c r="O639" s="550"/>
      <c r="P639" s="550"/>
      <c r="Q639" s="550"/>
      <c r="R639" s="550"/>
      <c r="S639" s="550"/>
      <c r="T639" s="550"/>
      <c r="U639" s="550"/>
      <c r="V639" s="550"/>
      <c r="W639" s="550"/>
    </row>
    <row r="640" spans="1:23">
      <c r="A640" s="753"/>
      <c r="B640" s="752"/>
      <c r="C640" s="592"/>
      <c r="D640" s="592"/>
      <c r="E640" s="1360"/>
      <c r="F640" s="1361"/>
      <c r="G640" s="1653"/>
      <c r="H640" s="1653"/>
      <c r="I640" s="1653"/>
      <c r="J640" s="675"/>
      <c r="K640" s="550"/>
      <c r="L640" s="550"/>
      <c r="M640" s="550"/>
      <c r="N640" s="550"/>
      <c r="O640" s="550"/>
      <c r="P640" s="550"/>
      <c r="Q640" s="550"/>
      <c r="R640" s="550"/>
      <c r="S640" s="550"/>
      <c r="T640" s="550"/>
      <c r="U640" s="550"/>
      <c r="V640" s="550"/>
      <c r="W640" s="550"/>
    </row>
    <row r="641" spans="1:23">
      <c r="A641" s="753"/>
      <c r="B641" s="752"/>
      <c r="C641" s="592"/>
      <c r="D641" s="592"/>
      <c r="E641" s="1360"/>
      <c r="F641" s="1361"/>
      <c r="G641" s="1653"/>
      <c r="H641" s="1653"/>
      <c r="I641" s="1653"/>
      <c r="J641" s="675"/>
      <c r="K641" s="550"/>
      <c r="L641" s="550"/>
      <c r="M641" s="550"/>
      <c r="N641" s="550"/>
      <c r="O641" s="550"/>
      <c r="P641" s="550"/>
      <c r="Q641" s="550"/>
      <c r="R641" s="550"/>
      <c r="S641" s="550"/>
      <c r="T641" s="550"/>
      <c r="U641" s="550"/>
      <c r="V641" s="550"/>
      <c r="W641" s="550"/>
    </row>
    <row r="642" spans="1:23">
      <c r="A642" s="753"/>
      <c r="B642" s="752"/>
      <c r="C642" s="592"/>
      <c r="D642" s="592"/>
      <c r="E642" s="1360"/>
      <c r="F642" s="1361"/>
      <c r="G642" s="1653"/>
      <c r="H642" s="1653"/>
      <c r="I642" s="1653"/>
      <c r="J642" s="675"/>
      <c r="K642" s="550"/>
      <c r="L642" s="550"/>
      <c r="M642" s="550"/>
      <c r="N642" s="550"/>
      <c r="O642" s="550"/>
      <c r="P642" s="550"/>
      <c r="Q642" s="550"/>
      <c r="R642" s="550"/>
      <c r="S642" s="550"/>
      <c r="T642" s="550"/>
      <c r="U642" s="550"/>
      <c r="V642" s="550"/>
      <c r="W642" s="550"/>
    </row>
    <row r="643" spans="1:23">
      <c r="A643" s="753"/>
      <c r="B643" s="752"/>
      <c r="C643" s="592"/>
      <c r="D643" s="592"/>
      <c r="E643" s="1360"/>
      <c r="F643" s="1361"/>
      <c r="G643" s="1653"/>
      <c r="H643" s="1653"/>
      <c r="I643" s="1653"/>
      <c r="J643" s="675"/>
      <c r="K643" s="550"/>
      <c r="L643" s="550"/>
      <c r="M643" s="550"/>
      <c r="N643" s="550"/>
      <c r="O643" s="550"/>
      <c r="P643" s="550"/>
      <c r="Q643" s="550"/>
      <c r="R643" s="550"/>
      <c r="S643" s="550"/>
      <c r="T643" s="550"/>
      <c r="U643" s="550"/>
      <c r="V643" s="550"/>
      <c r="W643" s="550"/>
    </row>
    <row r="644" spans="1:23">
      <c r="A644" s="753"/>
      <c r="B644" s="752"/>
      <c r="C644" s="592"/>
      <c r="D644" s="592"/>
      <c r="E644" s="1360"/>
      <c r="F644" s="1361"/>
      <c r="G644" s="1653"/>
      <c r="H644" s="1653"/>
      <c r="I644" s="1653"/>
      <c r="J644" s="675"/>
      <c r="K644" s="550"/>
      <c r="L644" s="550"/>
      <c r="M644" s="550"/>
      <c r="N644" s="550"/>
      <c r="O644" s="550"/>
      <c r="P644" s="550"/>
      <c r="Q644" s="550"/>
      <c r="R644" s="550"/>
      <c r="S644" s="550"/>
      <c r="T644" s="550"/>
      <c r="U644" s="550"/>
      <c r="V644" s="550"/>
      <c r="W644" s="550"/>
    </row>
    <row r="645" spans="1:23">
      <c r="A645" s="753"/>
      <c r="B645" s="752"/>
      <c r="C645" s="592"/>
      <c r="D645" s="592"/>
      <c r="E645" s="1360"/>
      <c r="F645" s="1361"/>
      <c r="G645" s="1653"/>
      <c r="H645" s="1653"/>
      <c r="I645" s="1653"/>
      <c r="J645" s="675"/>
      <c r="K645" s="550"/>
      <c r="L645" s="550"/>
      <c r="M645" s="550"/>
      <c r="N645" s="550"/>
      <c r="O645" s="550"/>
      <c r="P645" s="550"/>
      <c r="Q645" s="550"/>
      <c r="R645" s="550"/>
      <c r="S645" s="550"/>
      <c r="T645" s="550"/>
      <c r="U645" s="550"/>
      <c r="V645" s="550"/>
      <c r="W645" s="550"/>
    </row>
    <row r="646" spans="1:23">
      <c r="A646" s="753"/>
      <c r="B646" s="752"/>
      <c r="C646" s="592"/>
      <c r="D646" s="592"/>
      <c r="E646" s="1360"/>
      <c r="F646" s="1361"/>
      <c r="G646" s="1653"/>
      <c r="H646" s="1653"/>
      <c r="I646" s="1653"/>
      <c r="J646" s="675"/>
      <c r="K646" s="550"/>
      <c r="L646" s="550"/>
      <c r="M646" s="550"/>
      <c r="N646" s="550"/>
      <c r="O646" s="550"/>
      <c r="P646" s="550"/>
      <c r="Q646" s="550"/>
      <c r="R646" s="550"/>
      <c r="S646" s="550"/>
      <c r="T646" s="550"/>
      <c r="U646" s="550"/>
      <c r="V646" s="550"/>
      <c r="W646" s="550"/>
    </row>
    <row r="647" spans="1:23">
      <c r="A647" s="753"/>
      <c r="B647" s="752"/>
      <c r="C647" s="592"/>
      <c r="D647" s="592"/>
      <c r="E647" s="1360"/>
      <c r="F647" s="1361"/>
      <c r="G647" s="1653"/>
      <c r="H647" s="1653"/>
      <c r="I647" s="1653"/>
      <c r="J647" s="675"/>
      <c r="K647" s="550"/>
      <c r="L647" s="550"/>
      <c r="M647" s="550"/>
      <c r="N647" s="550"/>
      <c r="O647" s="550"/>
      <c r="P647" s="550"/>
      <c r="Q647" s="550"/>
      <c r="R647" s="550"/>
      <c r="S647" s="550"/>
      <c r="T647" s="550"/>
      <c r="U647" s="550"/>
      <c r="V647" s="550"/>
      <c r="W647" s="550"/>
    </row>
    <row r="648" spans="1:23">
      <c r="A648" s="753"/>
      <c r="B648" s="752"/>
      <c r="C648" s="592"/>
      <c r="D648" s="592"/>
      <c r="E648" s="1360"/>
      <c r="F648" s="1361"/>
      <c r="G648" s="1653"/>
      <c r="H648" s="1653"/>
      <c r="I648" s="1653"/>
      <c r="J648" s="675"/>
      <c r="K648" s="550"/>
      <c r="L648" s="550"/>
      <c r="M648" s="550"/>
      <c r="N648" s="550"/>
      <c r="O648" s="550"/>
      <c r="P648" s="550"/>
      <c r="Q648" s="550"/>
      <c r="R648" s="550"/>
      <c r="S648" s="550"/>
      <c r="T648" s="550"/>
      <c r="U648" s="550"/>
      <c r="V648" s="550"/>
      <c r="W648" s="550"/>
    </row>
    <row r="649" spans="1:23">
      <c r="A649" s="753"/>
      <c r="B649" s="752"/>
      <c r="C649" s="592"/>
      <c r="D649" s="592"/>
      <c r="E649" s="1360"/>
      <c r="F649" s="1361"/>
      <c r="G649" s="1653"/>
      <c r="H649" s="1653"/>
      <c r="I649" s="1653"/>
      <c r="J649" s="675"/>
      <c r="K649" s="550"/>
      <c r="L649" s="550"/>
      <c r="M649" s="550"/>
      <c r="N649" s="550"/>
      <c r="O649" s="550"/>
      <c r="P649" s="550"/>
      <c r="Q649" s="550"/>
      <c r="R649" s="550"/>
      <c r="S649" s="550"/>
      <c r="T649" s="550"/>
      <c r="U649" s="550"/>
      <c r="V649" s="550"/>
      <c r="W649" s="550"/>
    </row>
    <row r="650" spans="1:23">
      <c r="A650" s="753"/>
      <c r="B650" s="752"/>
      <c r="C650" s="592"/>
      <c r="D650" s="592"/>
      <c r="E650" s="1360"/>
      <c r="F650" s="1361"/>
      <c r="G650" s="1653"/>
      <c r="H650" s="1653"/>
      <c r="I650" s="1653"/>
      <c r="J650" s="675"/>
      <c r="K650" s="550"/>
      <c r="L650" s="550"/>
      <c r="M650" s="550"/>
      <c r="N650" s="550"/>
      <c r="O650" s="550"/>
      <c r="P650" s="550"/>
      <c r="Q650" s="550"/>
      <c r="R650" s="550"/>
      <c r="S650" s="550"/>
      <c r="T650" s="550"/>
      <c r="U650" s="550"/>
      <c r="V650" s="550"/>
      <c r="W650" s="550"/>
    </row>
    <row r="651" spans="1:23">
      <c r="A651" s="753"/>
      <c r="B651" s="752"/>
      <c r="C651" s="592"/>
      <c r="D651" s="592"/>
      <c r="E651" s="1360"/>
      <c r="F651" s="1361"/>
      <c r="G651" s="1653"/>
      <c r="H651" s="1653"/>
      <c r="I651" s="1653"/>
      <c r="J651" s="675"/>
      <c r="K651" s="550"/>
      <c r="L651" s="550"/>
      <c r="M651" s="550"/>
      <c r="N651" s="550"/>
      <c r="O651" s="550"/>
      <c r="P651" s="550"/>
      <c r="Q651" s="550"/>
      <c r="R651" s="550"/>
      <c r="S651" s="550"/>
      <c r="T651" s="550"/>
      <c r="U651" s="550"/>
      <c r="V651" s="550"/>
      <c r="W651" s="550"/>
    </row>
    <row r="652" spans="1:23">
      <c r="A652" s="753"/>
      <c r="B652" s="752"/>
      <c r="C652" s="592"/>
      <c r="D652" s="592"/>
      <c r="E652" s="1360"/>
      <c r="F652" s="1361"/>
      <c r="G652" s="1653"/>
      <c r="H652" s="1653"/>
      <c r="I652" s="1653"/>
      <c r="J652" s="675"/>
      <c r="K652" s="550"/>
      <c r="L652" s="550"/>
      <c r="M652" s="550"/>
      <c r="N652" s="550"/>
      <c r="O652" s="550"/>
      <c r="P652" s="550"/>
      <c r="Q652" s="550"/>
      <c r="R652" s="550"/>
      <c r="S652" s="550"/>
      <c r="T652" s="550"/>
      <c r="U652" s="550"/>
      <c r="V652" s="550"/>
      <c r="W652" s="550"/>
    </row>
    <row r="653" spans="1:23">
      <c r="A653" s="753"/>
      <c r="B653" s="752"/>
      <c r="C653" s="592"/>
      <c r="D653" s="592"/>
      <c r="E653" s="1360"/>
      <c r="F653" s="1361"/>
      <c r="G653" s="1653"/>
      <c r="H653" s="1653"/>
      <c r="I653" s="1653"/>
      <c r="J653" s="675"/>
      <c r="K653" s="550"/>
      <c r="L653" s="550"/>
      <c r="M653" s="550"/>
      <c r="N653" s="550"/>
      <c r="O653" s="550"/>
      <c r="P653" s="550"/>
      <c r="Q653" s="550"/>
      <c r="R653" s="550"/>
      <c r="S653" s="550"/>
      <c r="T653" s="550"/>
      <c r="U653" s="550"/>
      <c r="V653" s="550"/>
      <c r="W653" s="550"/>
    </row>
    <row r="654" spans="1:23">
      <c r="A654" s="753"/>
      <c r="B654" s="752"/>
      <c r="C654" s="592"/>
      <c r="D654" s="592"/>
      <c r="E654" s="1360"/>
      <c r="F654" s="1361"/>
      <c r="G654" s="1653"/>
      <c r="H654" s="1653"/>
      <c r="I654" s="1653"/>
      <c r="J654" s="675"/>
      <c r="K654" s="550"/>
      <c r="L654" s="550"/>
      <c r="M654" s="550"/>
      <c r="N654" s="550"/>
      <c r="O654" s="550"/>
      <c r="P654" s="550"/>
      <c r="Q654" s="550"/>
      <c r="R654" s="550"/>
      <c r="S654" s="550"/>
      <c r="T654" s="550"/>
      <c r="U654" s="550"/>
      <c r="V654" s="550"/>
      <c r="W654" s="550"/>
    </row>
    <row r="655" spans="1:23">
      <c r="A655" s="753"/>
      <c r="B655" s="752"/>
      <c r="C655" s="592"/>
      <c r="D655" s="592"/>
      <c r="E655" s="1360"/>
      <c r="F655" s="1361"/>
      <c r="G655" s="1653"/>
      <c r="H655" s="1653"/>
      <c r="I655" s="1653"/>
      <c r="J655" s="675"/>
      <c r="K655" s="550"/>
      <c r="L655" s="550"/>
      <c r="M655" s="550"/>
      <c r="N655" s="550"/>
      <c r="O655" s="550"/>
      <c r="P655" s="550"/>
      <c r="Q655" s="550"/>
      <c r="R655" s="550"/>
      <c r="S655" s="550"/>
      <c r="T655" s="550"/>
      <c r="U655" s="550"/>
      <c r="V655" s="550"/>
      <c r="W655" s="550"/>
    </row>
    <row r="656" spans="1:23">
      <c r="A656" s="753"/>
      <c r="B656" s="752"/>
      <c r="C656" s="592"/>
      <c r="D656" s="592"/>
      <c r="E656" s="1360"/>
      <c r="F656" s="1361"/>
      <c r="G656" s="1653"/>
      <c r="H656" s="1653"/>
      <c r="I656" s="1653"/>
      <c r="J656" s="675"/>
      <c r="K656" s="550"/>
      <c r="L656" s="550"/>
      <c r="M656" s="550"/>
      <c r="N656" s="550"/>
      <c r="O656" s="550"/>
      <c r="P656" s="550"/>
      <c r="Q656" s="550"/>
      <c r="R656" s="550"/>
      <c r="S656" s="550"/>
      <c r="T656" s="550"/>
      <c r="U656" s="550"/>
      <c r="V656" s="550"/>
      <c r="W656" s="550"/>
    </row>
    <row r="657" spans="1:23">
      <c r="A657" s="753"/>
      <c r="B657" s="752"/>
      <c r="C657" s="592"/>
      <c r="D657" s="592"/>
      <c r="E657" s="1360"/>
      <c r="F657" s="1361"/>
      <c r="G657" s="1653"/>
      <c r="H657" s="1653"/>
      <c r="I657" s="1653"/>
      <c r="J657" s="675"/>
      <c r="K657" s="550"/>
      <c r="L657" s="550"/>
      <c r="M657" s="550"/>
      <c r="N657" s="550"/>
      <c r="O657" s="550"/>
      <c r="P657" s="550"/>
      <c r="Q657" s="550"/>
      <c r="R657" s="550"/>
      <c r="S657" s="550"/>
      <c r="T657" s="550"/>
      <c r="U657" s="550"/>
      <c r="V657" s="550"/>
      <c r="W657" s="550"/>
    </row>
    <row r="658" spans="1:23">
      <c r="A658" s="753"/>
      <c r="B658" s="752"/>
      <c r="C658" s="592"/>
      <c r="D658" s="592"/>
      <c r="E658" s="1360"/>
      <c r="F658" s="1361"/>
      <c r="G658" s="1653"/>
      <c r="H658" s="1653"/>
      <c r="I658" s="1653"/>
      <c r="J658" s="675"/>
      <c r="K658" s="550"/>
      <c r="L658" s="550"/>
      <c r="M658" s="550"/>
      <c r="N658" s="550"/>
      <c r="O658" s="550"/>
      <c r="P658" s="550"/>
      <c r="Q658" s="550"/>
      <c r="R658" s="550"/>
      <c r="S658" s="550"/>
      <c r="T658" s="550"/>
      <c r="U658" s="550"/>
      <c r="V658" s="550"/>
      <c r="W658" s="550"/>
    </row>
    <row r="659" spans="1:23">
      <c r="A659" s="753"/>
      <c r="B659" s="752"/>
      <c r="C659" s="592"/>
      <c r="D659" s="592"/>
      <c r="E659" s="1360"/>
      <c r="F659" s="1361"/>
      <c r="G659" s="1653"/>
      <c r="H659" s="1653"/>
      <c r="I659" s="1653"/>
      <c r="J659" s="675"/>
      <c r="K659" s="550"/>
      <c r="L659" s="550"/>
      <c r="M659" s="550"/>
      <c r="N659" s="550"/>
      <c r="O659" s="550"/>
      <c r="P659" s="550"/>
      <c r="Q659" s="550"/>
      <c r="R659" s="550"/>
      <c r="S659" s="550"/>
      <c r="T659" s="550"/>
      <c r="U659" s="550"/>
      <c r="V659" s="550"/>
      <c r="W659" s="550"/>
    </row>
    <row r="660" spans="1:23">
      <c r="A660" s="753"/>
      <c r="B660" s="752"/>
      <c r="C660" s="592"/>
      <c r="D660" s="592"/>
      <c r="E660" s="1360"/>
      <c r="F660" s="1361"/>
      <c r="G660" s="1653"/>
      <c r="H660" s="1653"/>
      <c r="I660" s="1653"/>
      <c r="J660" s="675"/>
      <c r="K660" s="550"/>
      <c r="L660" s="550"/>
      <c r="M660" s="550"/>
      <c r="N660" s="550"/>
      <c r="O660" s="550"/>
      <c r="P660" s="550"/>
      <c r="Q660" s="550"/>
      <c r="R660" s="550"/>
      <c r="S660" s="550"/>
      <c r="T660" s="550"/>
      <c r="U660" s="550"/>
      <c r="V660" s="550"/>
      <c r="W660" s="550"/>
    </row>
    <row r="661" spans="1:23">
      <c r="A661" s="753"/>
      <c r="B661" s="752"/>
      <c r="C661" s="592"/>
      <c r="D661" s="592"/>
      <c r="E661" s="1360"/>
      <c r="F661" s="1361"/>
      <c r="G661" s="1653"/>
      <c r="H661" s="1653"/>
      <c r="I661" s="1653"/>
      <c r="J661" s="675"/>
      <c r="K661" s="550"/>
      <c r="L661" s="550"/>
      <c r="M661" s="550"/>
      <c r="N661" s="550"/>
      <c r="O661" s="550"/>
      <c r="P661" s="550"/>
      <c r="Q661" s="550"/>
      <c r="R661" s="550"/>
      <c r="S661" s="550"/>
      <c r="T661" s="550"/>
      <c r="U661" s="550"/>
      <c r="V661" s="550"/>
      <c r="W661" s="550"/>
    </row>
    <row r="662" spans="1:23">
      <c r="A662" s="753"/>
      <c r="B662" s="752"/>
      <c r="C662" s="592"/>
      <c r="D662" s="592"/>
      <c r="E662" s="1360"/>
      <c r="F662" s="1361"/>
      <c r="G662" s="1653"/>
      <c r="H662" s="1653"/>
      <c r="I662" s="1653"/>
      <c r="J662" s="675"/>
      <c r="K662" s="550"/>
      <c r="L662" s="550"/>
      <c r="M662" s="550"/>
      <c r="N662" s="550"/>
      <c r="O662" s="550"/>
      <c r="P662" s="550"/>
      <c r="Q662" s="550"/>
      <c r="R662" s="550"/>
      <c r="S662" s="550"/>
      <c r="T662" s="550"/>
      <c r="U662" s="550"/>
      <c r="V662" s="550"/>
      <c r="W662" s="550"/>
    </row>
    <row r="663" spans="1:23">
      <c r="A663" s="753"/>
      <c r="B663" s="752"/>
      <c r="C663" s="592"/>
      <c r="D663" s="592"/>
      <c r="E663" s="1360"/>
      <c r="F663" s="1361"/>
      <c r="G663" s="1653"/>
      <c r="H663" s="1653"/>
      <c r="I663" s="1653"/>
      <c r="J663" s="675"/>
      <c r="K663" s="550"/>
      <c r="L663" s="550"/>
      <c r="M663" s="550"/>
      <c r="N663" s="550"/>
      <c r="O663" s="550"/>
      <c r="P663" s="550"/>
      <c r="Q663" s="550"/>
      <c r="R663" s="550"/>
      <c r="S663" s="550"/>
      <c r="T663" s="550"/>
      <c r="U663" s="550"/>
      <c r="V663" s="550"/>
      <c r="W663" s="550"/>
    </row>
    <row r="664" spans="1:23">
      <c r="A664" s="753"/>
      <c r="B664" s="752"/>
      <c r="C664" s="592"/>
      <c r="D664" s="592"/>
      <c r="E664" s="1360"/>
      <c r="F664" s="1361"/>
      <c r="G664" s="1653"/>
      <c r="H664" s="1653"/>
      <c r="I664" s="1653"/>
      <c r="J664" s="675"/>
      <c r="K664" s="550"/>
      <c r="L664" s="550"/>
      <c r="M664" s="550"/>
      <c r="N664" s="550"/>
      <c r="O664" s="550"/>
      <c r="P664" s="550"/>
      <c r="Q664" s="550"/>
      <c r="R664" s="550"/>
      <c r="S664" s="550"/>
      <c r="T664" s="550"/>
      <c r="U664" s="550"/>
      <c r="V664" s="550"/>
      <c r="W664" s="550"/>
    </row>
    <row r="665" spans="1:23">
      <c r="A665" s="753"/>
      <c r="B665" s="752"/>
      <c r="C665" s="592"/>
      <c r="D665" s="592"/>
      <c r="E665" s="1360"/>
      <c r="F665" s="1361"/>
      <c r="G665" s="1653"/>
      <c r="H665" s="1653"/>
      <c r="I665" s="1653"/>
      <c r="J665" s="675"/>
      <c r="K665" s="550"/>
      <c r="L665" s="550"/>
      <c r="M665" s="550"/>
      <c r="N665" s="550"/>
      <c r="O665" s="550"/>
      <c r="P665" s="550"/>
      <c r="Q665" s="550"/>
      <c r="R665" s="550"/>
      <c r="S665" s="550"/>
      <c r="T665" s="550"/>
      <c r="U665" s="550"/>
      <c r="V665" s="550"/>
      <c r="W665" s="550"/>
    </row>
    <row r="666" spans="1:23">
      <c r="A666" s="753"/>
      <c r="B666" s="752"/>
      <c r="C666" s="592"/>
      <c r="D666" s="592"/>
      <c r="E666" s="1360"/>
      <c r="F666" s="1361"/>
      <c r="G666" s="1653"/>
      <c r="H666" s="1653"/>
      <c r="I666" s="1653"/>
      <c r="J666" s="675"/>
      <c r="K666" s="550"/>
      <c r="L666" s="550"/>
      <c r="M666" s="550"/>
      <c r="N666" s="550"/>
      <c r="O666" s="550"/>
      <c r="P666" s="550"/>
      <c r="Q666" s="550"/>
      <c r="R666" s="550"/>
      <c r="S666" s="550"/>
      <c r="T666" s="550"/>
      <c r="U666" s="550"/>
      <c r="V666" s="550"/>
      <c r="W666" s="550"/>
    </row>
    <row r="667" spans="1:23">
      <c r="A667" s="753"/>
      <c r="B667" s="752"/>
      <c r="C667" s="592"/>
      <c r="D667" s="592"/>
      <c r="E667" s="1360"/>
      <c r="F667" s="1361"/>
      <c r="G667" s="1653"/>
      <c r="H667" s="1653"/>
      <c r="I667" s="1653"/>
      <c r="J667" s="675"/>
      <c r="K667" s="550"/>
      <c r="L667" s="550"/>
      <c r="M667" s="550"/>
      <c r="N667" s="550"/>
      <c r="O667" s="550"/>
      <c r="P667" s="550"/>
      <c r="Q667" s="550"/>
      <c r="R667" s="550"/>
      <c r="S667" s="550"/>
      <c r="T667" s="550"/>
      <c r="U667" s="550"/>
      <c r="V667" s="550"/>
      <c r="W667" s="550"/>
    </row>
    <row r="668" spans="1:23">
      <c r="A668" s="753"/>
      <c r="B668" s="752"/>
      <c r="C668" s="592"/>
      <c r="D668" s="592"/>
      <c r="E668" s="1360"/>
      <c r="F668" s="1361"/>
      <c r="G668" s="1653"/>
      <c r="H668" s="1653"/>
      <c r="I668" s="1653"/>
      <c r="J668" s="675"/>
      <c r="K668" s="550"/>
      <c r="L668" s="550"/>
      <c r="M668" s="550"/>
      <c r="N668" s="550"/>
      <c r="O668" s="550"/>
      <c r="P668" s="550"/>
      <c r="Q668" s="550"/>
      <c r="R668" s="550"/>
      <c r="S668" s="550"/>
      <c r="T668" s="550"/>
      <c r="U668" s="550"/>
      <c r="V668" s="550"/>
      <c r="W668" s="550"/>
    </row>
    <row r="669" spans="1:23">
      <c r="A669" s="753"/>
      <c r="B669" s="752"/>
      <c r="C669" s="592"/>
      <c r="D669" s="592"/>
      <c r="E669" s="1360"/>
      <c r="F669" s="1361"/>
      <c r="G669" s="1653"/>
      <c r="H669" s="1653"/>
      <c r="I669" s="1653"/>
      <c r="J669" s="675"/>
      <c r="K669" s="550"/>
      <c r="L669" s="550"/>
      <c r="M669" s="550"/>
      <c r="N669" s="550"/>
      <c r="O669" s="550"/>
      <c r="P669" s="550"/>
      <c r="Q669" s="550"/>
      <c r="R669" s="550"/>
      <c r="S669" s="550"/>
      <c r="T669" s="550"/>
      <c r="U669" s="550"/>
      <c r="V669" s="550"/>
      <c r="W669" s="550"/>
    </row>
    <row r="670" spans="1:23">
      <c r="A670" s="753"/>
      <c r="B670" s="752"/>
      <c r="C670" s="592"/>
      <c r="D670" s="592"/>
      <c r="E670" s="1360"/>
      <c r="F670" s="1361"/>
      <c r="G670" s="1653"/>
      <c r="H670" s="1653"/>
      <c r="I670" s="1653"/>
      <c r="J670" s="675"/>
      <c r="K670" s="550"/>
      <c r="L670" s="550"/>
      <c r="M670" s="550"/>
      <c r="N670" s="550"/>
      <c r="O670" s="550"/>
      <c r="P670" s="550"/>
      <c r="Q670" s="550"/>
      <c r="R670" s="550"/>
      <c r="S670" s="550"/>
      <c r="T670" s="550"/>
      <c r="U670" s="550"/>
      <c r="V670" s="550"/>
      <c r="W670" s="550"/>
    </row>
    <row r="671" spans="1:23">
      <c r="A671" s="753"/>
      <c r="B671" s="752"/>
      <c r="C671" s="592"/>
      <c r="D671" s="592"/>
      <c r="E671" s="1360"/>
      <c r="F671" s="1361"/>
      <c r="G671" s="1653"/>
      <c r="H671" s="1653"/>
      <c r="I671" s="1653"/>
      <c r="J671" s="675"/>
      <c r="K671" s="550"/>
      <c r="L671" s="550"/>
      <c r="M671" s="550"/>
      <c r="N671" s="550"/>
      <c r="O671" s="550"/>
      <c r="P671" s="550"/>
      <c r="Q671" s="550"/>
      <c r="R671" s="550"/>
      <c r="S671" s="550"/>
      <c r="T671" s="550"/>
      <c r="U671" s="550"/>
      <c r="V671" s="550"/>
      <c r="W671" s="550"/>
    </row>
    <row r="672" spans="1:23">
      <c r="A672" s="753"/>
      <c r="B672" s="752"/>
      <c r="C672" s="592"/>
      <c r="D672" s="592"/>
      <c r="E672" s="1360"/>
      <c r="F672" s="1361"/>
      <c r="G672" s="1653"/>
      <c r="H672" s="1653"/>
      <c r="I672" s="1653"/>
      <c r="J672" s="675"/>
      <c r="K672" s="550"/>
      <c r="L672" s="550"/>
      <c r="M672" s="550"/>
      <c r="N672" s="550"/>
      <c r="O672" s="550"/>
      <c r="P672" s="550"/>
      <c r="Q672" s="550"/>
      <c r="R672" s="550"/>
      <c r="S672" s="550"/>
      <c r="T672" s="550"/>
      <c r="U672" s="550"/>
      <c r="V672" s="550"/>
      <c r="W672" s="550"/>
    </row>
    <row r="673" spans="1:23">
      <c r="A673" s="753"/>
      <c r="B673" s="752"/>
      <c r="C673" s="592"/>
      <c r="D673" s="592"/>
      <c r="E673" s="1360"/>
      <c r="F673" s="1361"/>
      <c r="G673" s="1653"/>
      <c r="H673" s="1653"/>
      <c r="I673" s="1653"/>
      <c r="J673" s="675"/>
      <c r="K673" s="550"/>
      <c r="L673" s="550"/>
      <c r="M673" s="550"/>
      <c r="N673" s="550"/>
      <c r="O673" s="550"/>
      <c r="P673" s="550"/>
      <c r="Q673" s="550"/>
      <c r="R673" s="550"/>
      <c r="S673" s="550"/>
      <c r="T673" s="550"/>
      <c r="U673" s="550"/>
      <c r="V673" s="550"/>
      <c r="W673" s="550"/>
    </row>
    <row r="674" spans="1:23">
      <c r="A674" s="753"/>
      <c r="B674" s="752"/>
      <c r="C674" s="592"/>
      <c r="D674" s="592"/>
      <c r="E674" s="1360"/>
      <c r="F674" s="1361"/>
      <c r="G674" s="1653"/>
      <c r="H674" s="1653"/>
      <c r="I674" s="1653"/>
      <c r="J674" s="675"/>
      <c r="K674" s="550"/>
      <c r="L674" s="550"/>
      <c r="M674" s="550"/>
      <c r="N674" s="550"/>
      <c r="O674" s="550"/>
      <c r="P674" s="550"/>
      <c r="Q674" s="550"/>
      <c r="R674" s="550"/>
      <c r="S674" s="550"/>
      <c r="T674" s="550"/>
      <c r="U674" s="550"/>
      <c r="V674" s="550"/>
      <c r="W674" s="550"/>
    </row>
    <row r="675" spans="1:23">
      <c r="A675" s="753"/>
      <c r="B675" s="752"/>
      <c r="C675" s="592"/>
      <c r="D675" s="592"/>
      <c r="E675" s="1360"/>
      <c r="F675" s="1361"/>
      <c r="G675" s="1653"/>
      <c r="H675" s="1653"/>
      <c r="I675" s="1653"/>
      <c r="J675" s="675"/>
      <c r="K675" s="550"/>
      <c r="L675" s="550"/>
      <c r="M675" s="550"/>
      <c r="N675" s="550"/>
      <c r="O675" s="550"/>
      <c r="P675" s="550"/>
      <c r="Q675" s="550"/>
      <c r="R675" s="550"/>
      <c r="S675" s="550"/>
      <c r="T675" s="550"/>
      <c r="U675" s="550"/>
      <c r="V675" s="550"/>
      <c r="W675" s="550"/>
    </row>
    <row r="676" spans="1:23">
      <c r="A676" s="753"/>
      <c r="B676" s="752"/>
      <c r="C676" s="592"/>
      <c r="D676" s="592"/>
      <c r="E676" s="1360"/>
      <c r="F676" s="1361"/>
      <c r="G676" s="1653"/>
      <c r="H676" s="1653"/>
      <c r="I676" s="1653"/>
      <c r="J676" s="675"/>
      <c r="K676" s="550"/>
      <c r="L676" s="550"/>
      <c r="M676" s="550"/>
      <c r="N676" s="550"/>
      <c r="O676" s="550"/>
      <c r="P676" s="550"/>
      <c r="Q676" s="550"/>
      <c r="R676" s="550"/>
      <c r="S676" s="550"/>
      <c r="T676" s="550"/>
      <c r="U676" s="550"/>
      <c r="V676" s="550"/>
      <c r="W676" s="550"/>
    </row>
    <row r="677" spans="1:23">
      <c r="A677" s="753"/>
      <c r="B677" s="752"/>
      <c r="C677" s="592"/>
      <c r="D677" s="592"/>
      <c r="E677" s="1360"/>
      <c r="F677" s="1361"/>
      <c r="G677" s="1653"/>
      <c r="H677" s="1653"/>
      <c r="I677" s="1653"/>
      <c r="J677" s="675"/>
      <c r="K677" s="550"/>
      <c r="L677" s="550"/>
      <c r="M677" s="550"/>
      <c r="N677" s="550"/>
      <c r="O677" s="550"/>
      <c r="P677" s="550"/>
      <c r="Q677" s="550"/>
      <c r="R677" s="550"/>
      <c r="S677" s="550"/>
      <c r="T677" s="550"/>
      <c r="U677" s="550"/>
      <c r="V677" s="550"/>
      <c r="W677" s="550"/>
    </row>
    <row r="678" spans="1:23">
      <c r="A678" s="753"/>
      <c r="B678" s="752"/>
      <c r="C678" s="592"/>
      <c r="D678" s="592"/>
      <c r="E678" s="1360"/>
      <c r="F678" s="1361"/>
      <c r="G678" s="1653"/>
      <c r="H678" s="1653"/>
      <c r="I678" s="1653"/>
      <c r="J678" s="675"/>
      <c r="K678" s="550"/>
      <c r="L678" s="550"/>
      <c r="M678" s="550"/>
      <c r="N678" s="550"/>
      <c r="O678" s="550"/>
      <c r="P678" s="550"/>
      <c r="Q678" s="550"/>
      <c r="R678" s="550"/>
      <c r="S678" s="550"/>
      <c r="T678" s="550"/>
      <c r="U678" s="550"/>
      <c r="V678" s="550"/>
      <c r="W678" s="550"/>
    </row>
    <row r="679" spans="1:23">
      <c r="A679" s="753"/>
      <c r="B679" s="752"/>
      <c r="C679" s="592"/>
      <c r="D679" s="592"/>
      <c r="E679" s="1360"/>
      <c r="F679" s="1361"/>
      <c r="G679" s="1653"/>
      <c r="H679" s="1653"/>
      <c r="I679" s="1653"/>
      <c r="J679" s="675"/>
      <c r="K679" s="550"/>
      <c r="L679" s="550"/>
      <c r="M679" s="550"/>
      <c r="N679" s="550"/>
      <c r="O679" s="550"/>
      <c r="P679" s="550"/>
      <c r="Q679" s="550"/>
      <c r="R679" s="550"/>
      <c r="S679" s="550"/>
      <c r="T679" s="550"/>
      <c r="U679" s="550"/>
      <c r="V679" s="550"/>
      <c r="W679" s="550"/>
    </row>
    <row r="680" spans="1:23">
      <c r="A680" s="753"/>
      <c r="B680" s="752"/>
      <c r="C680" s="592"/>
      <c r="D680" s="592"/>
      <c r="E680" s="1360"/>
      <c r="F680" s="1361"/>
      <c r="G680" s="1653"/>
      <c r="H680" s="1653"/>
      <c r="I680" s="1653"/>
      <c r="J680" s="675"/>
      <c r="K680" s="550"/>
      <c r="L680" s="550"/>
      <c r="M680" s="550"/>
      <c r="N680" s="550"/>
      <c r="O680" s="550"/>
      <c r="P680" s="550"/>
      <c r="Q680" s="550"/>
      <c r="R680" s="550"/>
      <c r="S680" s="550"/>
      <c r="T680" s="550"/>
      <c r="U680" s="550"/>
      <c r="V680" s="550"/>
      <c r="W680" s="550"/>
    </row>
    <row r="681" spans="1:23">
      <c r="A681" s="753"/>
      <c r="B681" s="752"/>
      <c r="C681" s="592"/>
      <c r="D681" s="592"/>
      <c r="E681" s="1360"/>
      <c r="F681" s="1361"/>
      <c r="G681" s="1653"/>
      <c r="H681" s="1653"/>
      <c r="I681" s="1653"/>
      <c r="J681" s="675"/>
      <c r="K681" s="550"/>
      <c r="L681" s="550"/>
      <c r="M681" s="550"/>
      <c r="N681" s="550"/>
      <c r="O681" s="550"/>
      <c r="P681" s="550"/>
      <c r="Q681" s="550"/>
      <c r="R681" s="550"/>
      <c r="S681" s="550"/>
      <c r="T681" s="550"/>
      <c r="U681" s="550"/>
      <c r="V681" s="550"/>
      <c r="W681" s="550"/>
    </row>
    <row r="682" spans="1:23">
      <c r="A682" s="753"/>
      <c r="B682" s="752"/>
      <c r="C682" s="592"/>
      <c r="D682" s="592"/>
      <c r="E682" s="1360"/>
      <c r="F682" s="1361"/>
      <c r="G682" s="1653"/>
      <c r="H682" s="1653"/>
      <c r="I682" s="1653"/>
      <c r="J682" s="675"/>
      <c r="K682" s="550"/>
      <c r="L682" s="550"/>
      <c r="M682" s="550"/>
      <c r="N682" s="550"/>
      <c r="O682" s="550"/>
      <c r="P682" s="550"/>
      <c r="Q682" s="550"/>
      <c r="R682" s="550"/>
      <c r="S682" s="550"/>
      <c r="T682" s="550"/>
      <c r="U682" s="550"/>
      <c r="V682" s="550"/>
      <c r="W682" s="550"/>
    </row>
    <row r="683" spans="1:23">
      <c r="A683" s="753"/>
      <c r="B683" s="752"/>
      <c r="C683" s="592"/>
      <c r="D683" s="592"/>
      <c r="E683" s="1360"/>
      <c r="F683" s="1361"/>
      <c r="G683" s="1653"/>
      <c r="H683" s="1653"/>
      <c r="I683" s="1653"/>
      <c r="J683" s="675"/>
      <c r="K683" s="550"/>
      <c r="L683" s="550"/>
      <c r="M683" s="550"/>
      <c r="N683" s="550"/>
      <c r="O683" s="550"/>
      <c r="P683" s="550"/>
      <c r="Q683" s="550"/>
      <c r="R683" s="550"/>
      <c r="S683" s="550"/>
      <c r="T683" s="550"/>
      <c r="U683" s="550"/>
      <c r="V683" s="550"/>
      <c r="W683" s="550"/>
    </row>
    <row r="684" spans="1:23">
      <c r="A684" s="753"/>
      <c r="B684" s="752"/>
      <c r="C684" s="592"/>
      <c r="D684" s="592"/>
      <c r="E684" s="1360"/>
      <c r="F684" s="1361"/>
      <c r="G684" s="1653"/>
      <c r="H684" s="1653"/>
      <c r="I684" s="1653"/>
      <c r="J684" s="675"/>
      <c r="K684" s="550"/>
      <c r="L684" s="550"/>
      <c r="M684" s="550"/>
      <c r="N684" s="550"/>
      <c r="O684" s="550"/>
      <c r="P684" s="550"/>
      <c r="Q684" s="550"/>
      <c r="R684" s="550"/>
      <c r="S684" s="550"/>
      <c r="T684" s="550"/>
      <c r="U684" s="550"/>
      <c r="V684" s="550"/>
      <c r="W684" s="550"/>
    </row>
    <row r="685" spans="1:23">
      <c r="A685" s="753"/>
      <c r="B685" s="752"/>
      <c r="C685" s="592"/>
      <c r="D685" s="592"/>
      <c r="E685" s="1360"/>
      <c r="F685" s="1361"/>
      <c r="G685" s="1653"/>
      <c r="H685" s="1653"/>
      <c r="I685" s="1653"/>
      <c r="J685" s="675"/>
      <c r="K685" s="550"/>
      <c r="L685" s="550"/>
      <c r="M685" s="550"/>
      <c r="N685" s="550"/>
      <c r="O685" s="550"/>
      <c r="P685" s="550"/>
      <c r="Q685" s="550"/>
      <c r="R685" s="550"/>
      <c r="S685" s="550"/>
      <c r="T685" s="550"/>
      <c r="U685" s="550"/>
      <c r="V685" s="550"/>
      <c r="W685" s="550"/>
    </row>
    <row r="686" spans="1:23">
      <c r="A686" s="753"/>
      <c r="B686" s="752"/>
      <c r="C686" s="592"/>
      <c r="D686" s="592"/>
      <c r="E686" s="1360"/>
      <c r="F686" s="1361"/>
      <c r="G686" s="1653"/>
      <c r="H686" s="1653"/>
      <c r="I686" s="1653"/>
      <c r="J686" s="675"/>
      <c r="K686" s="550"/>
      <c r="L686" s="550"/>
      <c r="M686" s="550"/>
      <c r="N686" s="550"/>
      <c r="O686" s="550"/>
      <c r="P686" s="550"/>
      <c r="Q686" s="550"/>
      <c r="R686" s="550"/>
      <c r="S686" s="550"/>
      <c r="T686" s="550"/>
      <c r="U686" s="550"/>
      <c r="V686" s="550"/>
      <c r="W686" s="550"/>
    </row>
    <row r="687" spans="1:23">
      <c r="A687" s="753"/>
      <c r="B687" s="752"/>
      <c r="C687" s="592"/>
      <c r="D687" s="592"/>
      <c r="E687" s="1360"/>
      <c r="F687" s="1361"/>
      <c r="G687" s="1653"/>
      <c r="H687" s="1653"/>
      <c r="I687" s="1653"/>
      <c r="J687" s="675"/>
      <c r="K687" s="550"/>
      <c r="L687" s="550"/>
      <c r="M687" s="550"/>
      <c r="N687" s="550"/>
      <c r="O687" s="550"/>
      <c r="P687" s="550"/>
      <c r="Q687" s="550"/>
      <c r="R687" s="550"/>
      <c r="S687" s="550"/>
      <c r="T687" s="550"/>
      <c r="U687" s="550"/>
      <c r="V687" s="550"/>
      <c r="W687" s="550"/>
    </row>
    <row r="688" spans="1:23">
      <c r="A688" s="753"/>
      <c r="B688" s="752"/>
      <c r="C688" s="592"/>
      <c r="D688" s="592"/>
      <c r="E688" s="1360"/>
      <c r="F688" s="1361"/>
      <c r="G688" s="1653"/>
      <c r="H688" s="1653"/>
      <c r="I688" s="1653"/>
      <c r="J688" s="675"/>
      <c r="K688" s="550"/>
      <c r="L688" s="550"/>
      <c r="M688" s="550"/>
      <c r="N688" s="550"/>
      <c r="O688" s="550"/>
      <c r="P688" s="550"/>
      <c r="Q688" s="550"/>
      <c r="R688" s="550"/>
      <c r="S688" s="550"/>
      <c r="T688" s="550"/>
      <c r="U688" s="550"/>
      <c r="V688" s="550"/>
      <c r="W688" s="550"/>
    </row>
    <row r="689" spans="1:23">
      <c r="A689" s="753"/>
      <c r="B689" s="752"/>
      <c r="C689" s="592"/>
      <c r="D689" s="592"/>
      <c r="E689" s="1360"/>
      <c r="F689" s="1361"/>
      <c r="G689" s="1653"/>
      <c r="H689" s="1653"/>
      <c r="I689" s="1653"/>
      <c r="J689" s="675"/>
      <c r="K689" s="550"/>
      <c r="L689" s="550"/>
      <c r="M689" s="550"/>
      <c r="N689" s="550"/>
      <c r="O689" s="550"/>
      <c r="P689" s="550"/>
      <c r="Q689" s="550"/>
      <c r="R689" s="550"/>
      <c r="S689" s="550"/>
      <c r="T689" s="550"/>
      <c r="U689" s="550"/>
      <c r="V689" s="550"/>
      <c r="W689" s="550"/>
    </row>
    <row r="690" spans="1:23">
      <c r="A690" s="753"/>
      <c r="B690" s="752"/>
      <c r="C690" s="592"/>
      <c r="D690" s="592"/>
      <c r="E690" s="1360"/>
      <c r="F690" s="1361"/>
      <c r="G690" s="1653"/>
      <c r="H690" s="1653"/>
      <c r="I690" s="1653"/>
      <c r="J690" s="675"/>
      <c r="K690" s="550"/>
      <c r="L690" s="550"/>
      <c r="M690" s="550"/>
      <c r="N690" s="550"/>
      <c r="O690" s="550"/>
      <c r="P690" s="550"/>
      <c r="Q690" s="550"/>
      <c r="R690" s="550"/>
      <c r="S690" s="550"/>
      <c r="T690" s="550"/>
      <c r="U690" s="550"/>
      <c r="V690" s="550"/>
      <c r="W690" s="550"/>
    </row>
    <row r="691" spans="1:23">
      <c r="A691" s="753"/>
      <c r="B691" s="752"/>
      <c r="C691" s="592"/>
      <c r="D691" s="592"/>
      <c r="E691" s="1360"/>
      <c r="F691" s="1361"/>
      <c r="G691" s="1653"/>
      <c r="H691" s="1653"/>
      <c r="I691" s="1653"/>
      <c r="J691" s="675"/>
      <c r="K691" s="550"/>
      <c r="L691" s="550"/>
      <c r="M691" s="550"/>
      <c r="N691" s="550"/>
      <c r="O691" s="550"/>
      <c r="P691" s="550"/>
      <c r="Q691" s="550"/>
      <c r="R691" s="550"/>
      <c r="S691" s="550"/>
      <c r="T691" s="550"/>
      <c r="U691" s="550"/>
      <c r="V691" s="550"/>
      <c r="W691" s="550"/>
    </row>
    <row r="692" spans="1:23">
      <c r="A692" s="753"/>
      <c r="B692" s="752"/>
      <c r="C692" s="592"/>
      <c r="D692" s="592"/>
      <c r="E692" s="1360"/>
      <c r="F692" s="1361"/>
      <c r="G692" s="1653"/>
      <c r="H692" s="1653"/>
      <c r="I692" s="1653"/>
      <c r="J692" s="675"/>
      <c r="K692" s="550"/>
      <c r="L692" s="550"/>
      <c r="M692" s="550"/>
      <c r="N692" s="550"/>
      <c r="O692" s="550"/>
      <c r="P692" s="550"/>
      <c r="Q692" s="550"/>
      <c r="R692" s="550"/>
      <c r="S692" s="550"/>
      <c r="T692" s="550"/>
      <c r="U692" s="550"/>
      <c r="V692" s="550"/>
      <c r="W692" s="550"/>
    </row>
    <row r="693" spans="1:23">
      <c r="A693" s="753"/>
      <c r="B693" s="752"/>
      <c r="C693" s="592"/>
      <c r="D693" s="592"/>
      <c r="E693" s="1360"/>
      <c r="F693" s="1361"/>
      <c r="G693" s="1653"/>
      <c r="H693" s="1653"/>
      <c r="I693" s="1653"/>
      <c r="J693" s="675"/>
      <c r="K693" s="550"/>
      <c r="L693" s="550"/>
      <c r="M693" s="550"/>
      <c r="N693" s="550"/>
      <c r="O693" s="550"/>
      <c r="P693" s="550"/>
      <c r="Q693" s="550"/>
      <c r="R693" s="550"/>
      <c r="S693" s="550"/>
      <c r="T693" s="550"/>
      <c r="U693" s="550"/>
      <c r="V693" s="550"/>
      <c r="W693" s="550"/>
    </row>
    <row r="694" spans="1:23">
      <c r="A694" s="753"/>
      <c r="B694" s="752"/>
      <c r="C694" s="592"/>
      <c r="D694" s="592"/>
      <c r="E694" s="1360"/>
      <c r="F694" s="1361"/>
      <c r="G694" s="1653"/>
      <c r="H694" s="1653"/>
      <c r="I694" s="1653"/>
      <c r="J694" s="675"/>
      <c r="K694" s="550"/>
      <c r="L694" s="550"/>
      <c r="M694" s="550"/>
      <c r="N694" s="550"/>
      <c r="O694" s="550"/>
      <c r="P694" s="550"/>
      <c r="Q694" s="550"/>
      <c r="R694" s="550"/>
      <c r="S694" s="550"/>
      <c r="T694" s="550"/>
      <c r="U694" s="550"/>
      <c r="V694" s="550"/>
      <c r="W694" s="550"/>
    </row>
    <row r="695" spans="1:23">
      <c r="A695" s="753"/>
      <c r="B695" s="752"/>
      <c r="C695" s="592"/>
      <c r="D695" s="592"/>
      <c r="E695" s="1360"/>
      <c r="F695" s="1361"/>
      <c r="G695" s="1653"/>
      <c r="H695" s="1653"/>
      <c r="I695" s="1653"/>
      <c r="J695" s="675"/>
      <c r="K695" s="550"/>
      <c r="L695" s="550"/>
      <c r="M695" s="550"/>
      <c r="N695" s="550"/>
      <c r="O695" s="550"/>
      <c r="P695" s="550"/>
      <c r="Q695" s="550"/>
      <c r="R695" s="550"/>
      <c r="S695" s="550"/>
      <c r="T695" s="550"/>
      <c r="U695" s="550"/>
      <c r="V695" s="550"/>
      <c r="W695" s="550"/>
    </row>
    <row r="696" spans="1:23">
      <c r="A696" s="753"/>
      <c r="B696" s="752"/>
      <c r="C696" s="592"/>
      <c r="D696" s="592"/>
      <c r="E696" s="1360"/>
      <c r="F696" s="1361"/>
      <c r="G696" s="1653"/>
      <c r="H696" s="1653"/>
      <c r="I696" s="1653"/>
      <c r="J696" s="675"/>
      <c r="K696" s="550"/>
      <c r="L696" s="550"/>
      <c r="M696" s="550"/>
      <c r="N696" s="550"/>
      <c r="O696" s="550"/>
      <c r="P696" s="550"/>
      <c r="Q696" s="550"/>
      <c r="R696" s="550"/>
      <c r="S696" s="550"/>
      <c r="T696" s="550"/>
      <c r="U696" s="550"/>
      <c r="V696" s="550"/>
      <c r="W696" s="550"/>
    </row>
    <row r="697" spans="1:23">
      <c r="A697" s="753"/>
      <c r="B697" s="752"/>
      <c r="C697" s="592"/>
      <c r="D697" s="592"/>
      <c r="E697" s="1360"/>
      <c r="F697" s="1361"/>
      <c r="G697" s="1653"/>
      <c r="H697" s="1653"/>
      <c r="I697" s="1653"/>
      <c r="J697" s="675"/>
      <c r="K697" s="550"/>
      <c r="L697" s="550"/>
      <c r="M697" s="550"/>
      <c r="N697" s="550"/>
      <c r="O697" s="550"/>
      <c r="P697" s="550"/>
      <c r="Q697" s="550"/>
      <c r="R697" s="550"/>
      <c r="S697" s="550"/>
      <c r="T697" s="550"/>
      <c r="U697" s="550"/>
      <c r="V697" s="550"/>
      <c r="W697" s="550"/>
    </row>
    <row r="698" spans="1:23">
      <c r="A698" s="753"/>
      <c r="B698" s="752"/>
      <c r="C698" s="592"/>
      <c r="D698" s="592"/>
      <c r="E698" s="1360"/>
      <c r="F698" s="1361"/>
      <c r="G698" s="1653"/>
      <c r="H698" s="1653"/>
      <c r="I698" s="1653"/>
      <c r="J698" s="675"/>
      <c r="K698" s="550"/>
      <c r="L698" s="550"/>
      <c r="M698" s="550"/>
      <c r="N698" s="550"/>
      <c r="O698" s="550"/>
      <c r="P698" s="550"/>
      <c r="Q698" s="550"/>
      <c r="R698" s="550"/>
      <c r="S698" s="550"/>
      <c r="T698" s="550"/>
      <c r="U698" s="550"/>
      <c r="V698" s="550"/>
      <c r="W698" s="550"/>
    </row>
    <row r="699" spans="1:23">
      <c r="A699" s="753"/>
      <c r="B699" s="752"/>
      <c r="C699" s="592"/>
      <c r="D699" s="592"/>
      <c r="E699" s="1360"/>
      <c r="F699" s="1361"/>
      <c r="G699" s="1653"/>
      <c r="H699" s="1653"/>
      <c r="I699" s="1653"/>
      <c r="J699" s="675"/>
      <c r="K699" s="550"/>
      <c r="L699" s="550"/>
      <c r="M699" s="550"/>
      <c r="N699" s="550"/>
      <c r="O699" s="550"/>
      <c r="P699" s="550"/>
      <c r="Q699" s="550"/>
      <c r="R699" s="550"/>
      <c r="S699" s="550"/>
      <c r="T699" s="550"/>
      <c r="U699" s="550"/>
      <c r="V699" s="550"/>
      <c r="W699" s="550"/>
    </row>
    <row r="700" spans="1:23">
      <c r="A700" s="753"/>
      <c r="B700" s="752"/>
      <c r="C700" s="592"/>
      <c r="D700" s="592"/>
      <c r="E700" s="1360"/>
      <c r="F700" s="1361"/>
      <c r="G700" s="1653"/>
      <c r="H700" s="1653"/>
      <c r="I700" s="1653"/>
      <c r="J700" s="675"/>
      <c r="K700" s="550"/>
      <c r="L700" s="550"/>
      <c r="M700" s="550"/>
      <c r="N700" s="550"/>
      <c r="O700" s="550"/>
      <c r="P700" s="550"/>
      <c r="Q700" s="550"/>
      <c r="R700" s="550"/>
      <c r="S700" s="550"/>
      <c r="T700" s="550"/>
      <c r="U700" s="550"/>
      <c r="V700" s="550"/>
      <c r="W700" s="550"/>
    </row>
    <row r="701" spans="1:23">
      <c r="A701" s="753"/>
      <c r="B701" s="752"/>
      <c r="C701" s="592"/>
      <c r="D701" s="592"/>
      <c r="E701" s="1360"/>
      <c r="F701" s="1361"/>
      <c r="G701" s="1653"/>
      <c r="H701" s="1653"/>
      <c r="I701" s="1653"/>
      <c r="J701" s="675"/>
      <c r="K701" s="550"/>
      <c r="L701" s="550"/>
      <c r="M701" s="550"/>
      <c r="N701" s="550"/>
      <c r="O701" s="550"/>
      <c r="P701" s="550"/>
      <c r="Q701" s="550"/>
      <c r="R701" s="550"/>
      <c r="S701" s="550"/>
      <c r="T701" s="550"/>
      <c r="U701" s="550"/>
      <c r="V701" s="550"/>
      <c r="W701" s="550"/>
    </row>
    <row r="702" spans="1:23">
      <c r="A702" s="753"/>
      <c r="B702" s="752"/>
      <c r="C702" s="592"/>
      <c r="D702" s="592"/>
      <c r="E702" s="1360"/>
      <c r="F702" s="1361"/>
      <c r="G702" s="1653"/>
      <c r="H702" s="1653"/>
      <c r="I702" s="1653"/>
      <c r="J702" s="675"/>
      <c r="K702" s="550"/>
      <c r="L702" s="550"/>
      <c r="M702" s="550"/>
      <c r="N702" s="550"/>
      <c r="O702" s="550"/>
      <c r="P702" s="550"/>
      <c r="Q702" s="550"/>
      <c r="R702" s="550"/>
      <c r="S702" s="550"/>
      <c r="T702" s="550"/>
      <c r="U702" s="550"/>
      <c r="V702" s="550"/>
      <c r="W702" s="550"/>
    </row>
    <row r="703" spans="1:23">
      <c r="A703" s="753"/>
      <c r="B703" s="752"/>
      <c r="C703" s="592"/>
      <c r="D703" s="592"/>
      <c r="E703" s="1360"/>
      <c r="F703" s="1361"/>
      <c r="G703" s="1653"/>
      <c r="H703" s="1653"/>
      <c r="I703" s="1653"/>
      <c r="J703" s="675"/>
      <c r="K703" s="550"/>
      <c r="L703" s="550"/>
      <c r="M703" s="550"/>
      <c r="N703" s="550"/>
      <c r="O703" s="550"/>
      <c r="P703" s="550"/>
      <c r="Q703" s="550"/>
      <c r="R703" s="550"/>
      <c r="S703" s="550"/>
      <c r="T703" s="550"/>
      <c r="U703" s="550"/>
      <c r="V703" s="550"/>
      <c r="W703" s="550"/>
    </row>
    <row r="704" spans="1:23">
      <c r="A704" s="753"/>
      <c r="B704" s="752"/>
      <c r="C704" s="592"/>
      <c r="D704" s="592"/>
      <c r="E704" s="1360"/>
      <c r="F704" s="1361"/>
      <c r="G704" s="1653"/>
      <c r="H704" s="1653"/>
      <c r="I704" s="1653"/>
      <c r="J704" s="675"/>
      <c r="K704" s="550"/>
      <c r="L704" s="550"/>
      <c r="M704" s="550"/>
      <c r="N704" s="550"/>
      <c r="O704" s="550"/>
      <c r="P704" s="550"/>
      <c r="Q704" s="550"/>
      <c r="R704" s="550"/>
      <c r="S704" s="550"/>
      <c r="T704" s="550"/>
      <c r="U704" s="550"/>
      <c r="V704" s="550"/>
      <c r="W704" s="550"/>
    </row>
    <row r="705" spans="1:23">
      <c r="A705" s="753"/>
      <c r="B705" s="752"/>
      <c r="C705" s="592"/>
      <c r="D705" s="592"/>
      <c r="E705" s="1360"/>
      <c r="F705" s="1361"/>
      <c r="G705" s="1653"/>
      <c r="H705" s="1653"/>
      <c r="I705" s="1653"/>
      <c r="J705" s="675"/>
      <c r="K705" s="550"/>
      <c r="L705" s="550"/>
      <c r="M705" s="550"/>
      <c r="N705" s="550"/>
      <c r="O705" s="550"/>
      <c r="P705" s="550"/>
      <c r="Q705" s="550"/>
      <c r="R705" s="550"/>
      <c r="S705" s="550"/>
      <c r="T705" s="550"/>
      <c r="U705" s="550"/>
      <c r="V705" s="550"/>
      <c r="W705" s="550"/>
    </row>
    <row r="706" spans="1:23">
      <c r="A706" s="753"/>
      <c r="B706" s="752"/>
      <c r="C706" s="592"/>
      <c r="D706" s="592"/>
      <c r="E706" s="1360"/>
      <c r="F706" s="1361"/>
      <c r="G706" s="1653"/>
      <c r="H706" s="1653"/>
      <c r="I706" s="1653"/>
      <c r="J706" s="675"/>
      <c r="K706" s="550"/>
      <c r="L706" s="550"/>
      <c r="M706" s="550"/>
      <c r="N706" s="550"/>
      <c r="O706" s="550"/>
      <c r="P706" s="550"/>
      <c r="Q706" s="550"/>
      <c r="R706" s="550"/>
      <c r="S706" s="550"/>
      <c r="T706" s="550"/>
      <c r="U706" s="550"/>
      <c r="V706" s="550"/>
      <c r="W706" s="550"/>
    </row>
    <row r="707" spans="1:23">
      <c r="A707" s="753"/>
      <c r="B707" s="752"/>
      <c r="C707" s="592"/>
      <c r="D707" s="592"/>
      <c r="E707" s="1360"/>
      <c r="F707" s="1361"/>
      <c r="G707" s="1653"/>
      <c r="H707" s="1653"/>
      <c r="I707" s="1653"/>
      <c r="J707" s="675"/>
      <c r="K707" s="550"/>
      <c r="L707" s="550"/>
      <c r="M707" s="550"/>
      <c r="N707" s="550"/>
      <c r="O707" s="550"/>
      <c r="P707" s="550"/>
      <c r="Q707" s="550"/>
      <c r="R707" s="550"/>
      <c r="S707" s="550"/>
      <c r="T707" s="550"/>
      <c r="U707" s="550"/>
      <c r="V707" s="550"/>
      <c r="W707" s="550"/>
    </row>
    <row r="708" spans="1:23">
      <c r="A708" s="753"/>
      <c r="B708" s="752"/>
      <c r="C708" s="592"/>
      <c r="D708" s="592"/>
      <c r="E708" s="1360"/>
      <c r="F708" s="1361"/>
      <c r="G708" s="1653"/>
      <c r="H708" s="1653"/>
      <c r="I708" s="1653"/>
      <c r="J708" s="675"/>
      <c r="K708" s="550"/>
      <c r="L708" s="550"/>
      <c r="M708" s="550"/>
      <c r="N708" s="550"/>
      <c r="O708" s="550"/>
      <c r="P708" s="550"/>
      <c r="Q708" s="550"/>
      <c r="R708" s="550"/>
      <c r="S708" s="550"/>
      <c r="T708" s="550"/>
      <c r="U708" s="550"/>
      <c r="V708" s="550"/>
      <c r="W708" s="550"/>
    </row>
    <row r="709" spans="1:23">
      <c r="A709" s="753"/>
      <c r="B709" s="752"/>
      <c r="C709" s="592"/>
      <c r="D709" s="592"/>
      <c r="E709" s="1360"/>
      <c r="F709" s="1361"/>
      <c r="G709" s="1653"/>
      <c r="H709" s="1653"/>
      <c r="I709" s="1653"/>
      <c r="J709" s="675"/>
      <c r="K709" s="550"/>
      <c r="L709" s="550"/>
      <c r="M709" s="550"/>
      <c r="N709" s="550"/>
      <c r="O709" s="550"/>
      <c r="P709" s="550"/>
      <c r="Q709" s="550"/>
      <c r="R709" s="550"/>
      <c r="S709" s="550"/>
      <c r="T709" s="550"/>
      <c r="U709" s="550"/>
      <c r="V709" s="550"/>
      <c r="W709" s="550"/>
    </row>
    <row r="710" spans="1:23">
      <c r="A710" s="753"/>
      <c r="B710" s="752"/>
      <c r="C710" s="592"/>
      <c r="D710" s="592"/>
      <c r="E710" s="1360"/>
      <c r="F710" s="1361"/>
      <c r="G710" s="1653"/>
      <c r="H710" s="1653"/>
      <c r="I710" s="1653"/>
      <c r="J710" s="675"/>
      <c r="K710" s="550"/>
      <c r="L710" s="550"/>
      <c r="M710" s="550"/>
      <c r="N710" s="550"/>
      <c r="O710" s="550"/>
      <c r="P710" s="550"/>
      <c r="Q710" s="550"/>
      <c r="R710" s="550"/>
      <c r="S710" s="550"/>
      <c r="T710" s="550"/>
      <c r="U710" s="550"/>
      <c r="V710" s="550"/>
      <c r="W710" s="550"/>
    </row>
    <row r="711" spans="1:23">
      <c r="A711" s="753"/>
      <c r="B711" s="752"/>
      <c r="C711" s="592"/>
      <c r="D711" s="592"/>
      <c r="E711" s="1360"/>
      <c r="F711" s="1361"/>
      <c r="G711" s="1653"/>
      <c r="H711" s="1653"/>
      <c r="I711" s="1653"/>
      <c r="J711" s="675"/>
      <c r="K711" s="550"/>
      <c r="L711" s="550"/>
      <c r="M711" s="550"/>
      <c r="N711" s="550"/>
      <c r="O711" s="550"/>
      <c r="P711" s="550"/>
      <c r="Q711" s="550"/>
      <c r="R711" s="550"/>
      <c r="S711" s="550"/>
      <c r="T711" s="550"/>
      <c r="U711" s="550"/>
      <c r="V711" s="550"/>
      <c r="W711" s="550"/>
    </row>
    <row r="712" spans="1:23">
      <c r="A712" s="753"/>
      <c r="B712" s="752"/>
      <c r="C712" s="592"/>
      <c r="D712" s="592"/>
      <c r="E712" s="1360"/>
      <c r="F712" s="1361"/>
      <c r="G712" s="1653"/>
      <c r="H712" s="1653"/>
      <c r="I712" s="1653"/>
      <c r="J712" s="675"/>
      <c r="K712" s="550"/>
      <c r="L712" s="550"/>
      <c r="M712" s="550"/>
      <c r="N712" s="550"/>
      <c r="O712" s="550"/>
      <c r="P712" s="550"/>
      <c r="Q712" s="550"/>
      <c r="R712" s="550"/>
      <c r="S712" s="550"/>
      <c r="T712" s="550"/>
      <c r="U712" s="550"/>
      <c r="V712" s="550"/>
      <c r="W712" s="550"/>
    </row>
    <row r="713" spans="1:23">
      <c r="A713" s="753"/>
      <c r="B713" s="752"/>
      <c r="C713" s="592"/>
      <c r="D713" s="592"/>
      <c r="E713" s="1360"/>
      <c r="F713" s="1361"/>
      <c r="G713" s="1653"/>
      <c r="H713" s="1653"/>
      <c r="I713" s="1653"/>
      <c r="J713" s="675"/>
      <c r="K713" s="550"/>
      <c r="L713" s="550"/>
      <c r="M713" s="550"/>
      <c r="N713" s="550"/>
      <c r="O713" s="550"/>
      <c r="P713" s="550"/>
      <c r="Q713" s="550"/>
      <c r="R713" s="550"/>
      <c r="S713" s="550"/>
      <c r="T713" s="550"/>
      <c r="U713" s="550"/>
      <c r="V713" s="550"/>
      <c r="W713" s="550"/>
    </row>
    <row r="714" spans="1:23">
      <c r="A714" s="753"/>
      <c r="B714" s="752"/>
      <c r="C714" s="592"/>
      <c r="D714" s="592"/>
      <c r="E714" s="1360"/>
      <c r="F714" s="1361"/>
      <c r="G714" s="1653"/>
      <c r="H714" s="1653"/>
      <c r="I714" s="1653"/>
      <c r="J714" s="675"/>
      <c r="K714" s="550"/>
      <c r="L714" s="550"/>
      <c r="M714" s="550"/>
      <c r="N714" s="550"/>
      <c r="O714" s="550"/>
      <c r="P714" s="550"/>
      <c r="Q714" s="550"/>
      <c r="R714" s="550"/>
      <c r="S714" s="550"/>
      <c r="T714" s="550"/>
      <c r="U714" s="550"/>
      <c r="V714" s="550"/>
      <c r="W714" s="550"/>
    </row>
    <row r="715" spans="1:23">
      <c r="A715" s="753"/>
      <c r="B715" s="752"/>
      <c r="C715" s="592"/>
      <c r="D715" s="592"/>
      <c r="E715" s="1360"/>
      <c r="F715" s="1361"/>
      <c r="G715" s="1653"/>
      <c r="H715" s="1653"/>
      <c r="I715" s="1653"/>
      <c r="J715" s="675"/>
      <c r="K715" s="550"/>
      <c r="L715" s="550"/>
      <c r="M715" s="550"/>
      <c r="N715" s="550"/>
      <c r="O715" s="550"/>
      <c r="P715" s="550"/>
      <c r="Q715" s="550"/>
      <c r="R715" s="550"/>
      <c r="S715" s="550"/>
      <c r="T715" s="550"/>
      <c r="U715" s="550"/>
      <c r="V715" s="550"/>
      <c r="W715" s="550"/>
    </row>
    <row r="716" spans="1:23">
      <c r="A716" s="753"/>
      <c r="B716" s="752"/>
      <c r="C716" s="592"/>
      <c r="D716" s="592"/>
      <c r="E716" s="1360"/>
      <c r="F716" s="1361"/>
      <c r="G716" s="1653"/>
      <c r="H716" s="1653"/>
      <c r="I716" s="1653"/>
      <c r="J716" s="675"/>
      <c r="K716" s="550"/>
      <c r="L716" s="550"/>
      <c r="M716" s="550"/>
      <c r="N716" s="550"/>
      <c r="O716" s="550"/>
      <c r="P716" s="550"/>
      <c r="Q716" s="550"/>
      <c r="R716" s="550"/>
      <c r="S716" s="550"/>
      <c r="T716" s="550"/>
      <c r="U716" s="550"/>
      <c r="V716" s="550"/>
      <c r="W716" s="550"/>
    </row>
    <row r="717" spans="1:23">
      <c r="A717" s="753"/>
      <c r="B717" s="752"/>
      <c r="C717" s="592"/>
      <c r="D717" s="592"/>
      <c r="E717" s="1360"/>
      <c r="F717" s="1361"/>
      <c r="G717" s="1653"/>
      <c r="H717" s="1653"/>
      <c r="I717" s="1653"/>
      <c r="J717" s="675"/>
      <c r="K717" s="550"/>
      <c r="L717" s="550"/>
      <c r="M717" s="550"/>
      <c r="N717" s="550"/>
      <c r="O717" s="550"/>
      <c r="P717" s="550"/>
      <c r="Q717" s="550"/>
      <c r="R717" s="550"/>
      <c r="S717" s="550"/>
      <c r="T717" s="550"/>
      <c r="U717" s="550"/>
      <c r="V717" s="550"/>
      <c r="W717" s="550"/>
    </row>
    <row r="718" spans="1:23">
      <c r="A718" s="753"/>
      <c r="B718" s="752"/>
      <c r="C718" s="592"/>
      <c r="D718" s="592"/>
      <c r="E718" s="1360"/>
      <c r="F718" s="1361"/>
      <c r="G718" s="1653"/>
      <c r="H718" s="1653"/>
      <c r="I718" s="1653"/>
      <c r="J718" s="675"/>
      <c r="K718" s="550"/>
      <c r="L718" s="550"/>
      <c r="M718" s="550"/>
      <c r="N718" s="550"/>
      <c r="O718" s="550"/>
      <c r="P718" s="550"/>
      <c r="Q718" s="550"/>
      <c r="R718" s="550"/>
      <c r="S718" s="550"/>
      <c r="T718" s="550"/>
      <c r="U718" s="550"/>
      <c r="V718" s="550"/>
      <c r="W718" s="550"/>
    </row>
    <row r="719" spans="1:23">
      <c r="A719" s="753"/>
      <c r="B719" s="752"/>
      <c r="C719" s="592"/>
      <c r="D719" s="592"/>
      <c r="E719" s="1360"/>
      <c r="F719" s="1361"/>
      <c r="G719" s="1653"/>
      <c r="H719" s="1653"/>
      <c r="I719" s="1653"/>
      <c r="J719" s="675"/>
      <c r="K719" s="550"/>
      <c r="L719" s="550"/>
      <c r="M719" s="550"/>
      <c r="N719" s="550"/>
      <c r="O719" s="550"/>
      <c r="P719" s="550"/>
      <c r="Q719" s="550"/>
      <c r="R719" s="550"/>
      <c r="S719" s="550"/>
      <c r="T719" s="550"/>
      <c r="U719" s="550"/>
      <c r="V719" s="550"/>
      <c r="W719" s="550"/>
    </row>
    <row r="720" spans="1:23">
      <c r="A720" s="753"/>
      <c r="B720" s="752"/>
      <c r="C720" s="592"/>
      <c r="D720" s="592"/>
      <c r="E720" s="1360"/>
      <c r="F720" s="1361"/>
      <c r="G720" s="1653"/>
      <c r="H720" s="1653"/>
      <c r="I720" s="1653"/>
      <c r="J720" s="675"/>
      <c r="K720" s="550"/>
      <c r="L720" s="550"/>
      <c r="M720" s="550"/>
      <c r="N720" s="550"/>
      <c r="O720" s="550"/>
      <c r="P720" s="550"/>
      <c r="Q720" s="550"/>
      <c r="R720" s="550"/>
      <c r="S720" s="550"/>
      <c r="T720" s="550"/>
      <c r="U720" s="550"/>
      <c r="V720" s="550"/>
      <c r="W720" s="550"/>
    </row>
    <row r="721" spans="1:23">
      <c r="A721" s="753"/>
      <c r="B721" s="752"/>
      <c r="C721" s="592"/>
      <c r="D721" s="592"/>
      <c r="E721" s="1360"/>
      <c r="F721" s="1361"/>
      <c r="G721" s="1653"/>
      <c r="H721" s="1653"/>
      <c r="I721" s="1653"/>
      <c r="J721" s="675"/>
      <c r="K721" s="550"/>
      <c r="L721" s="550"/>
      <c r="M721" s="550"/>
      <c r="N721" s="550"/>
      <c r="O721" s="550"/>
      <c r="P721" s="550"/>
      <c r="Q721" s="550"/>
      <c r="R721" s="550"/>
      <c r="S721" s="550"/>
      <c r="T721" s="550"/>
      <c r="U721" s="550"/>
      <c r="V721" s="550"/>
      <c r="W721" s="550"/>
    </row>
    <row r="722" spans="1:23">
      <c r="A722" s="753"/>
      <c r="B722" s="752"/>
      <c r="C722" s="592"/>
      <c r="D722" s="592"/>
      <c r="E722" s="1360"/>
      <c r="F722" s="1361"/>
      <c r="G722" s="1653"/>
      <c r="H722" s="1653"/>
      <c r="I722" s="1653"/>
      <c r="J722" s="675"/>
      <c r="K722" s="550"/>
      <c r="L722" s="550"/>
      <c r="M722" s="550"/>
      <c r="N722" s="550"/>
      <c r="O722" s="550"/>
      <c r="P722" s="550"/>
      <c r="Q722" s="550"/>
      <c r="R722" s="550"/>
      <c r="S722" s="550"/>
      <c r="T722" s="550"/>
      <c r="U722" s="550"/>
      <c r="V722" s="550"/>
      <c r="W722" s="550"/>
    </row>
    <row r="723" spans="1:23">
      <c r="A723" s="753"/>
      <c r="B723" s="752"/>
      <c r="C723" s="592"/>
      <c r="D723" s="592"/>
      <c r="E723" s="1360"/>
      <c r="F723" s="1361"/>
      <c r="G723" s="1653"/>
      <c r="H723" s="1653"/>
      <c r="I723" s="1653"/>
      <c r="J723" s="675"/>
      <c r="K723" s="550"/>
      <c r="L723" s="550"/>
      <c r="M723" s="550"/>
      <c r="N723" s="550"/>
      <c r="O723" s="550"/>
      <c r="P723" s="550"/>
      <c r="Q723" s="550"/>
      <c r="R723" s="550"/>
      <c r="S723" s="550"/>
      <c r="T723" s="550"/>
      <c r="U723" s="550"/>
      <c r="V723" s="550"/>
      <c r="W723" s="550"/>
    </row>
    <row r="724" spans="1:23">
      <c r="A724" s="753"/>
      <c r="B724" s="752"/>
      <c r="C724" s="592"/>
      <c r="D724" s="592"/>
      <c r="E724" s="1360"/>
      <c r="F724" s="1361"/>
      <c r="G724" s="1653"/>
      <c r="H724" s="1653"/>
      <c r="I724" s="1653"/>
      <c r="J724" s="675"/>
      <c r="K724" s="550"/>
      <c r="L724" s="550"/>
      <c r="M724" s="550"/>
      <c r="N724" s="550"/>
      <c r="O724" s="550"/>
      <c r="P724" s="550"/>
      <c r="Q724" s="550"/>
      <c r="R724" s="550"/>
      <c r="S724" s="550"/>
      <c r="T724" s="550"/>
      <c r="U724" s="550"/>
      <c r="V724" s="550"/>
      <c r="W724" s="550"/>
    </row>
    <row r="725" spans="1:23">
      <c r="A725" s="753"/>
      <c r="B725" s="752"/>
      <c r="C725" s="592"/>
      <c r="D725" s="592"/>
      <c r="E725" s="1360"/>
      <c r="F725" s="1361"/>
      <c r="G725" s="1653"/>
      <c r="H725" s="1653"/>
      <c r="I725" s="1653"/>
      <c r="J725" s="675"/>
      <c r="K725" s="550"/>
      <c r="L725" s="550"/>
      <c r="M725" s="550"/>
      <c r="N725" s="550"/>
      <c r="O725" s="550"/>
      <c r="P725" s="550"/>
      <c r="Q725" s="550"/>
      <c r="R725" s="550"/>
      <c r="S725" s="550"/>
      <c r="T725" s="550"/>
      <c r="U725" s="550"/>
      <c r="V725" s="550"/>
      <c r="W725" s="550"/>
    </row>
    <row r="726" spans="1:23">
      <c r="A726" s="753"/>
      <c r="B726" s="752"/>
      <c r="C726" s="592"/>
      <c r="D726" s="592"/>
      <c r="E726" s="1360"/>
      <c r="F726" s="1361"/>
      <c r="G726" s="1653"/>
      <c r="H726" s="1653"/>
      <c r="I726" s="1653"/>
      <c r="J726" s="675"/>
      <c r="K726" s="550"/>
      <c r="L726" s="550"/>
      <c r="M726" s="550"/>
      <c r="N726" s="550"/>
      <c r="O726" s="550"/>
      <c r="P726" s="550"/>
      <c r="Q726" s="550"/>
      <c r="R726" s="550"/>
      <c r="S726" s="550"/>
      <c r="T726" s="550"/>
      <c r="U726" s="550"/>
      <c r="V726" s="550"/>
      <c r="W726" s="550"/>
    </row>
    <row r="727" spans="1:23">
      <c r="A727" s="753"/>
      <c r="B727" s="752"/>
      <c r="C727" s="592"/>
      <c r="D727" s="592"/>
      <c r="E727" s="1360"/>
      <c r="F727" s="1361"/>
      <c r="G727" s="1653"/>
      <c r="H727" s="1653"/>
      <c r="I727" s="1653"/>
      <c r="J727" s="675"/>
      <c r="K727" s="550"/>
      <c r="L727" s="550"/>
      <c r="M727" s="550"/>
      <c r="N727" s="550"/>
      <c r="O727" s="550"/>
      <c r="P727" s="550"/>
      <c r="Q727" s="550"/>
      <c r="R727" s="550"/>
      <c r="S727" s="550"/>
      <c r="T727" s="550"/>
      <c r="U727" s="550"/>
      <c r="V727" s="550"/>
      <c r="W727" s="550"/>
    </row>
    <row r="728" spans="1:23">
      <c r="A728" s="753"/>
      <c r="B728" s="752"/>
      <c r="C728" s="592"/>
      <c r="D728" s="592"/>
      <c r="E728" s="1360"/>
      <c r="F728" s="1361"/>
      <c r="G728" s="1653"/>
      <c r="H728" s="1653"/>
      <c r="I728" s="1653"/>
      <c r="J728" s="675"/>
      <c r="K728" s="550"/>
      <c r="L728" s="550"/>
      <c r="M728" s="550"/>
      <c r="N728" s="550"/>
      <c r="O728" s="550"/>
      <c r="P728" s="550"/>
      <c r="Q728" s="550"/>
      <c r="R728" s="550"/>
      <c r="S728" s="550"/>
      <c r="T728" s="550"/>
      <c r="U728" s="550"/>
      <c r="V728" s="550"/>
      <c r="W728" s="550"/>
    </row>
    <row r="729" spans="1:23">
      <c r="A729" s="753"/>
      <c r="B729" s="752"/>
      <c r="C729" s="592"/>
      <c r="D729" s="592"/>
      <c r="E729" s="1360"/>
      <c r="F729" s="1361"/>
      <c r="G729" s="1653"/>
      <c r="H729" s="1653"/>
      <c r="I729" s="1653"/>
      <c r="J729" s="675"/>
      <c r="K729" s="550"/>
      <c r="L729" s="550"/>
      <c r="M729" s="550"/>
      <c r="N729" s="550"/>
      <c r="O729" s="550"/>
      <c r="P729" s="550"/>
      <c r="Q729" s="550"/>
      <c r="R729" s="550"/>
      <c r="S729" s="550"/>
      <c r="T729" s="550"/>
      <c r="U729" s="550"/>
      <c r="V729" s="550"/>
      <c r="W729" s="550"/>
    </row>
    <row r="730" spans="1:23">
      <c r="A730" s="753"/>
      <c r="B730" s="752"/>
      <c r="C730" s="592"/>
      <c r="D730" s="592"/>
      <c r="E730" s="1360"/>
      <c r="F730" s="1361"/>
      <c r="G730" s="1653"/>
      <c r="H730" s="1653"/>
      <c r="I730" s="1653"/>
      <c r="J730" s="675"/>
      <c r="K730" s="550"/>
      <c r="L730" s="550"/>
      <c r="M730" s="550"/>
      <c r="N730" s="550"/>
      <c r="O730" s="550"/>
      <c r="P730" s="550"/>
      <c r="Q730" s="550"/>
      <c r="R730" s="550"/>
      <c r="S730" s="550"/>
      <c r="T730" s="550"/>
      <c r="U730" s="550"/>
      <c r="V730" s="550"/>
      <c r="W730" s="550"/>
    </row>
    <row r="731" spans="1:23">
      <c r="A731" s="753"/>
      <c r="B731" s="752"/>
      <c r="C731" s="592"/>
      <c r="D731" s="592"/>
      <c r="E731" s="1360"/>
      <c r="F731" s="1361"/>
      <c r="G731" s="1653"/>
      <c r="H731" s="1653"/>
      <c r="I731" s="1653"/>
      <c r="J731" s="675"/>
      <c r="K731" s="550"/>
      <c r="L731" s="550"/>
      <c r="M731" s="550"/>
      <c r="N731" s="550"/>
      <c r="O731" s="550"/>
      <c r="P731" s="550"/>
      <c r="Q731" s="550"/>
      <c r="R731" s="550"/>
      <c r="S731" s="550"/>
      <c r="T731" s="550"/>
      <c r="U731" s="550"/>
      <c r="V731" s="550"/>
      <c r="W731" s="550"/>
    </row>
    <row r="732" spans="1:23">
      <c r="A732" s="753"/>
      <c r="B732" s="752"/>
      <c r="C732" s="592"/>
      <c r="D732" s="592"/>
      <c r="E732" s="1360"/>
      <c r="F732" s="1361"/>
      <c r="G732" s="1653"/>
      <c r="H732" s="1653"/>
      <c r="I732" s="1653"/>
      <c r="J732" s="675"/>
      <c r="K732" s="550"/>
      <c r="L732" s="550"/>
      <c r="M732" s="550"/>
      <c r="N732" s="550"/>
      <c r="O732" s="550"/>
      <c r="P732" s="550"/>
      <c r="Q732" s="550"/>
      <c r="R732" s="550"/>
      <c r="S732" s="550"/>
      <c r="T732" s="550"/>
      <c r="U732" s="550"/>
      <c r="V732" s="550"/>
      <c r="W732" s="550"/>
    </row>
    <row r="733" spans="1:23">
      <c r="A733" s="753"/>
      <c r="B733" s="752"/>
      <c r="C733" s="592"/>
      <c r="D733" s="592"/>
      <c r="E733" s="1360"/>
      <c r="F733" s="1361"/>
      <c r="G733" s="1653"/>
      <c r="H733" s="1653"/>
      <c r="I733" s="1653"/>
      <c r="J733" s="675"/>
      <c r="K733" s="550"/>
      <c r="L733" s="550"/>
      <c r="M733" s="550"/>
      <c r="N733" s="550"/>
      <c r="O733" s="550"/>
      <c r="P733" s="550"/>
      <c r="Q733" s="550"/>
      <c r="R733" s="550"/>
      <c r="S733" s="550"/>
      <c r="T733" s="550"/>
      <c r="U733" s="550"/>
      <c r="V733" s="550"/>
      <c r="W733" s="550"/>
    </row>
    <row r="734" spans="1:23">
      <c r="A734" s="753"/>
      <c r="B734" s="752"/>
      <c r="C734" s="592"/>
      <c r="D734" s="592"/>
      <c r="E734" s="1360"/>
      <c r="F734" s="1361"/>
      <c r="G734" s="1653"/>
      <c r="H734" s="1653"/>
      <c r="I734" s="1653"/>
      <c r="J734" s="675"/>
      <c r="K734" s="550"/>
      <c r="L734" s="550"/>
      <c r="M734" s="550"/>
      <c r="N734" s="550"/>
      <c r="O734" s="550"/>
      <c r="P734" s="550"/>
      <c r="Q734" s="550"/>
      <c r="R734" s="550"/>
      <c r="S734" s="550"/>
      <c r="T734" s="550"/>
      <c r="U734" s="550"/>
      <c r="V734" s="550"/>
      <c r="W734" s="550"/>
    </row>
    <row r="735" spans="1:23">
      <c r="A735" s="753"/>
      <c r="B735" s="752"/>
      <c r="C735" s="592"/>
      <c r="D735" s="592"/>
      <c r="E735" s="1360"/>
      <c r="F735" s="1361"/>
      <c r="G735" s="1653"/>
      <c r="H735" s="1653"/>
      <c r="I735" s="1653"/>
      <c r="J735" s="675"/>
      <c r="K735" s="550"/>
      <c r="L735" s="550"/>
      <c r="M735" s="550"/>
      <c r="N735" s="550"/>
      <c r="O735" s="550"/>
      <c r="P735" s="550"/>
      <c r="Q735" s="550"/>
      <c r="R735" s="550"/>
      <c r="S735" s="550"/>
      <c r="T735" s="550"/>
      <c r="U735" s="550"/>
      <c r="V735" s="550"/>
      <c r="W735" s="550"/>
    </row>
    <row r="736" spans="1:23">
      <c r="A736" s="753"/>
      <c r="B736" s="752"/>
      <c r="C736" s="592"/>
      <c r="D736" s="592"/>
      <c r="E736" s="1360"/>
      <c r="F736" s="1361"/>
      <c r="G736" s="1653"/>
      <c r="H736" s="1653"/>
      <c r="I736" s="1653"/>
      <c r="J736" s="675"/>
      <c r="K736" s="550"/>
      <c r="L736" s="550"/>
      <c r="M736" s="550"/>
      <c r="N736" s="550"/>
      <c r="O736" s="550"/>
      <c r="P736" s="550"/>
      <c r="Q736" s="550"/>
      <c r="R736" s="550"/>
      <c r="S736" s="550"/>
      <c r="T736" s="550"/>
      <c r="U736" s="550"/>
      <c r="V736" s="550"/>
      <c r="W736" s="550"/>
    </row>
    <row r="737" spans="1:23">
      <c r="A737" s="753"/>
      <c r="B737" s="752"/>
      <c r="C737" s="592"/>
      <c r="D737" s="592"/>
      <c r="E737" s="1360"/>
      <c r="F737" s="1361"/>
      <c r="G737" s="1653"/>
      <c r="H737" s="1653"/>
      <c r="I737" s="1653"/>
      <c r="J737" s="675"/>
      <c r="K737" s="550"/>
      <c r="L737" s="550"/>
      <c r="M737" s="550"/>
      <c r="N737" s="550"/>
      <c r="O737" s="550"/>
      <c r="P737" s="550"/>
      <c r="Q737" s="550"/>
      <c r="R737" s="550"/>
      <c r="S737" s="550"/>
      <c r="T737" s="550"/>
      <c r="U737" s="550"/>
      <c r="V737" s="550"/>
      <c r="W737" s="550"/>
    </row>
    <row r="738" spans="1:23">
      <c r="A738" s="753"/>
      <c r="B738" s="752"/>
      <c r="C738" s="592"/>
      <c r="D738" s="592"/>
      <c r="E738" s="1360"/>
      <c r="F738" s="1361"/>
      <c r="G738" s="1653"/>
      <c r="H738" s="1653"/>
      <c r="I738" s="1653"/>
      <c r="J738" s="675"/>
      <c r="K738" s="550"/>
      <c r="L738" s="550"/>
      <c r="M738" s="550"/>
      <c r="N738" s="550"/>
      <c r="O738" s="550"/>
      <c r="P738" s="550"/>
      <c r="Q738" s="550"/>
      <c r="R738" s="550"/>
      <c r="S738" s="550"/>
      <c r="T738" s="550"/>
      <c r="U738" s="550"/>
      <c r="V738" s="550"/>
      <c r="W738" s="550"/>
    </row>
    <row r="739" spans="1:23">
      <c r="A739" s="753"/>
      <c r="B739" s="752"/>
      <c r="C739" s="592"/>
      <c r="D739" s="592"/>
      <c r="E739" s="1360"/>
      <c r="F739" s="1361"/>
      <c r="G739" s="1653"/>
      <c r="H739" s="1653"/>
      <c r="I739" s="1653"/>
      <c r="J739" s="675"/>
      <c r="K739" s="550"/>
      <c r="L739" s="550"/>
      <c r="M739" s="550"/>
      <c r="N739" s="550"/>
      <c r="O739" s="550"/>
      <c r="P739" s="550"/>
      <c r="Q739" s="550"/>
      <c r="R739" s="550"/>
      <c r="S739" s="550"/>
      <c r="T739" s="550"/>
      <c r="U739" s="550"/>
      <c r="V739" s="550"/>
      <c r="W739" s="550"/>
    </row>
    <row r="740" spans="1:23">
      <c r="A740" s="753"/>
      <c r="B740" s="752"/>
      <c r="C740" s="592"/>
      <c r="D740" s="592"/>
      <c r="E740" s="1360"/>
      <c r="F740" s="1361"/>
      <c r="G740" s="1653"/>
      <c r="H740" s="1653"/>
      <c r="I740" s="1653"/>
      <c r="J740" s="675"/>
      <c r="K740" s="550"/>
      <c r="L740" s="550"/>
      <c r="M740" s="550"/>
      <c r="N740" s="550"/>
      <c r="O740" s="550"/>
      <c r="P740" s="550"/>
      <c r="Q740" s="550"/>
      <c r="R740" s="550"/>
      <c r="S740" s="550"/>
      <c r="T740" s="550"/>
      <c r="U740" s="550"/>
      <c r="V740" s="550"/>
      <c r="W740" s="550"/>
    </row>
    <row r="741" spans="1:23">
      <c r="A741" s="753"/>
      <c r="B741" s="752"/>
      <c r="C741" s="592"/>
      <c r="D741" s="592"/>
      <c r="E741" s="1360"/>
      <c r="F741" s="1361"/>
      <c r="G741" s="1653"/>
      <c r="H741" s="1653"/>
      <c r="I741" s="1653"/>
      <c r="J741" s="675"/>
      <c r="K741" s="550"/>
      <c r="L741" s="550"/>
      <c r="M741" s="550"/>
      <c r="N741" s="550"/>
      <c r="O741" s="550"/>
      <c r="P741" s="550"/>
      <c r="Q741" s="550"/>
      <c r="R741" s="550"/>
      <c r="S741" s="550"/>
      <c r="T741" s="550"/>
      <c r="U741" s="550"/>
      <c r="V741" s="550"/>
      <c r="W741" s="550"/>
    </row>
    <row r="742" spans="1:23">
      <c r="A742" s="753"/>
      <c r="B742" s="752"/>
      <c r="C742" s="592"/>
      <c r="D742" s="592"/>
      <c r="E742" s="1360"/>
      <c r="F742" s="1361"/>
      <c r="G742" s="1653"/>
      <c r="H742" s="1653"/>
      <c r="I742" s="1653"/>
      <c r="J742" s="675"/>
      <c r="K742" s="550"/>
      <c r="L742" s="550"/>
      <c r="M742" s="550"/>
      <c r="N742" s="550"/>
      <c r="O742" s="550"/>
      <c r="P742" s="550"/>
      <c r="Q742" s="550"/>
      <c r="R742" s="550"/>
      <c r="S742" s="550"/>
      <c r="T742" s="550"/>
      <c r="U742" s="550"/>
      <c r="V742" s="550"/>
      <c r="W742" s="550"/>
    </row>
    <row r="743" spans="1:23">
      <c r="A743" s="753"/>
      <c r="B743" s="752"/>
      <c r="C743" s="592"/>
      <c r="D743" s="592"/>
      <c r="E743" s="1360"/>
      <c r="F743" s="1361"/>
      <c r="G743" s="1653"/>
      <c r="H743" s="1653"/>
      <c r="I743" s="1653"/>
      <c r="J743" s="675"/>
      <c r="K743" s="550"/>
      <c r="L743" s="550"/>
      <c r="M743" s="550"/>
      <c r="N743" s="550"/>
      <c r="O743" s="550"/>
      <c r="P743" s="550"/>
      <c r="Q743" s="550"/>
      <c r="R743" s="550"/>
      <c r="S743" s="550"/>
      <c r="T743" s="550"/>
      <c r="U743" s="550"/>
      <c r="V743" s="550"/>
      <c r="W743" s="550"/>
    </row>
    <row r="744" spans="1:23">
      <c r="A744" s="753"/>
      <c r="B744" s="752"/>
      <c r="C744" s="592"/>
      <c r="D744" s="592"/>
      <c r="E744" s="1360"/>
      <c r="F744" s="1361"/>
      <c r="G744" s="1653"/>
      <c r="H744" s="1653"/>
      <c r="I744" s="1653"/>
      <c r="J744" s="675"/>
      <c r="K744" s="550"/>
      <c r="L744" s="550"/>
      <c r="M744" s="550"/>
      <c r="N744" s="550"/>
      <c r="O744" s="550"/>
      <c r="P744" s="550"/>
      <c r="Q744" s="550"/>
      <c r="R744" s="550"/>
      <c r="S744" s="550"/>
      <c r="T744" s="550"/>
      <c r="U744" s="550"/>
      <c r="V744" s="550"/>
      <c r="W744" s="550"/>
    </row>
    <row r="745" spans="1:23">
      <c r="A745" s="753"/>
      <c r="B745" s="752"/>
      <c r="C745" s="592"/>
      <c r="D745" s="592"/>
      <c r="E745" s="1360"/>
      <c r="F745" s="1361"/>
      <c r="G745" s="1653"/>
      <c r="H745" s="1653"/>
      <c r="I745" s="1653"/>
      <c r="J745" s="675"/>
      <c r="K745" s="550"/>
      <c r="L745" s="550"/>
      <c r="M745" s="550"/>
      <c r="N745" s="550"/>
      <c r="O745" s="550"/>
      <c r="P745" s="550"/>
      <c r="Q745" s="550"/>
      <c r="R745" s="550"/>
      <c r="S745" s="550"/>
      <c r="T745" s="550"/>
      <c r="U745" s="550"/>
      <c r="V745" s="550"/>
      <c r="W745" s="550"/>
    </row>
    <row r="746" spans="1:23">
      <c r="A746" s="753"/>
      <c r="B746" s="752"/>
      <c r="C746" s="592"/>
      <c r="D746" s="592"/>
      <c r="E746" s="1360"/>
      <c r="F746" s="1361"/>
      <c r="G746" s="1653"/>
      <c r="H746" s="1653"/>
      <c r="I746" s="1653"/>
      <c r="J746" s="675"/>
      <c r="K746" s="550"/>
      <c r="L746" s="550"/>
      <c r="M746" s="550"/>
      <c r="N746" s="550"/>
      <c r="O746" s="550"/>
      <c r="P746" s="550"/>
      <c r="Q746" s="550"/>
      <c r="R746" s="550"/>
      <c r="S746" s="550"/>
      <c r="T746" s="550"/>
      <c r="U746" s="550"/>
      <c r="V746" s="550"/>
      <c r="W746" s="550"/>
    </row>
    <row r="747" spans="1:23">
      <c r="A747" s="753"/>
      <c r="B747" s="752"/>
      <c r="C747" s="592"/>
      <c r="D747" s="592"/>
      <c r="E747" s="1360"/>
      <c r="F747" s="1361"/>
      <c r="G747" s="1653"/>
      <c r="H747" s="1653"/>
      <c r="I747" s="1653"/>
      <c r="J747" s="675"/>
      <c r="K747" s="550"/>
      <c r="L747" s="550"/>
      <c r="M747" s="550"/>
      <c r="N747" s="550"/>
      <c r="O747" s="550"/>
      <c r="P747" s="550"/>
      <c r="Q747" s="550"/>
      <c r="R747" s="550"/>
      <c r="S747" s="550"/>
      <c r="T747" s="550"/>
      <c r="U747" s="550"/>
      <c r="V747" s="550"/>
      <c r="W747" s="550"/>
    </row>
    <row r="748" spans="1:23">
      <c r="A748" s="753"/>
      <c r="B748" s="752"/>
      <c r="C748" s="592"/>
      <c r="D748" s="592"/>
      <c r="E748" s="1360"/>
      <c r="F748" s="1361"/>
      <c r="G748" s="1653"/>
      <c r="H748" s="1653"/>
      <c r="I748" s="1653"/>
      <c r="J748" s="675"/>
      <c r="K748" s="550"/>
      <c r="L748" s="550"/>
      <c r="M748" s="550"/>
      <c r="N748" s="550"/>
      <c r="O748" s="550"/>
      <c r="P748" s="550"/>
      <c r="Q748" s="550"/>
      <c r="R748" s="550"/>
      <c r="S748" s="550"/>
      <c r="T748" s="550"/>
      <c r="U748" s="550"/>
      <c r="V748" s="550"/>
      <c r="W748" s="550"/>
    </row>
    <row r="749" spans="1:23">
      <c r="A749" s="753"/>
      <c r="B749" s="752"/>
      <c r="C749" s="592"/>
      <c r="D749" s="592"/>
      <c r="E749" s="1360"/>
      <c r="F749" s="1361"/>
      <c r="G749" s="1653"/>
      <c r="H749" s="1653"/>
      <c r="I749" s="1653"/>
      <c r="J749" s="675"/>
      <c r="K749" s="550"/>
      <c r="L749" s="550"/>
      <c r="M749" s="550"/>
      <c r="N749" s="550"/>
      <c r="O749" s="550"/>
      <c r="P749" s="550"/>
      <c r="Q749" s="550"/>
      <c r="R749" s="550"/>
      <c r="S749" s="550"/>
      <c r="T749" s="550"/>
      <c r="U749" s="550"/>
      <c r="V749" s="550"/>
      <c r="W749" s="550"/>
    </row>
    <row r="750" spans="1:23">
      <c r="A750" s="753"/>
      <c r="B750" s="752"/>
      <c r="C750" s="592"/>
      <c r="D750" s="592"/>
      <c r="E750" s="1360"/>
      <c r="F750" s="1361"/>
      <c r="G750" s="1653"/>
      <c r="H750" s="1653"/>
      <c r="I750" s="1653"/>
      <c r="J750" s="675"/>
      <c r="K750" s="550"/>
      <c r="L750" s="550"/>
      <c r="M750" s="550"/>
      <c r="N750" s="550"/>
      <c r="O750" s="550"/>
      <c r="P750" s="550"/>
      <c r="Q750" s="550"/>
      <c r="R750" s="550"/>
      <c r="S750" s="550"/>
      <c r="T750" s="550"/>
      <c r="U750" s="550"/>
      <c r="V750" s="550"/>
      <c r="W750" s="550"/>
    </row>
    <row r="751" spans="1:23">
      <c r="A751" s="753"/>
      <c r="B751" s="752"/>
      <c r="C751" s="592"/>
      <c r="D751" s="592"/>
      <c r="E751" s="1360"/>
      <c r="F751" s="1361"/>
      <c r="G751" s="1653"/>
      <c r="H751" s="1653"/>
      <c r="I751" s="1653"/>
      <c r="J751" s="675"/>
      <c r="K751" s="550"/>
      <c r="L751" s="550"/>
      <c r="M751" s="550"/>
      <c r="N751" s="550"/>
      <c r="O751" s="550"/>
      <c r="P751" s="550"/>
      <c r="Q751" s="550"/>
      <c r="R751" s="550"/>
      <c r="S751" s="550"/>
      <c r="T751" s="550"/>
      <c r="U751" s="550"/>
      <c r="V751" s="550"/>
      <c r="W751" s="550"/>
    </row>
  </sheetData>
  <sheetProtection insertColumns="0" insertRows="0"/>
  <mergeCells count="72">
    <mergeCell ref="E16:I16"/>
    <mergeCell ref="E603:I603"/>
    <mergeCell ref="B20:C20"/>
    <mergeCell ref="K342:O342"/>
    <mergeCell ref="A1:B1"/>
    <mergeCell ref="A2:B2"/>
    <mergeCell ref="A3:B3"/>
    <mergeCell ref="A4:B4"/>
    <mergeCell ref="A5:B5"/>
    <mergeCell ref="A6:B6"/>
    <mergeCell ref="A8:B8"/>
    <mergeCell ref="A9:B9"/>
    <mergeCell ref="A10:C11"/>
    <mergeCell ref="A12:C12"/>
    <mergeCell ref="A14:A16"/>
    <mergeCell ref="B14:C16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8:C48"/>
    <mergeCell ref="B34:C34"/>
    <mergeCell ref="B35:C35"/>
    <mergeCell ref="B36:C36"/>
    <mergeCell ref="B38:C38"/>
    <mergeCell ref="B40:C40"/>
    <mergeCell ref="B41:C41"/>
    <mergeCell ref="B60:C60"/>
    <mergeCell ref="B42:C42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5:C55"/>
    <mergeCell ref="B57:C57"/>
    <mergeCell ref="B58:C58"/>
    <mergeCell ref="B59:C59"/>
    <mergeCell ref="B62:C62"/>
    <mergeCell ref="B592:C592"/>
    <mergeCell ref="E68:I68"/>
    <mergeCell ref="A588:A589"/>
    <mergeCell ref="B588:C589"/>
    <mergeCell ref="E589:I589"/>
    <mergeCell ref="B64:C64"/>
    <mergeCell ref="A67:A68"/>
    <mergeCell ref="B67:B68"/>
    <mergeCell ref="C67:C68"/>
    <mergeCell ref="B63:C63"/>
    <mergeCell ref="B590:C590"/>
    <mergeCell ref="A602:A603"/>
    <mergeCell ref="B602:C603"/>
    <mergeCell ref="B604:C604"/>
    <mergeCell ref="B594:C594"/>
    <mergeCell ref="B595:C595"/>
    <mergeCell ref="B596:C596"/>
    <mergeCell ref="B597:C597"/>
    <mergeCell ref="B598:C598"/>
    <mergeCell ref="B599:C599"/>
  </mergeCells>
  <conditionalFormatting sqref="F73:F88">
    <cfRule type="cellIs" dxfId="24" priority="18" stopIfTrue="1" operator="notEqual">
      <formula>$E333</formula>
    </cfRule>
  </conditionalFormatting>
  <conditionalFormatting sqref="D118:I118">
    <cfRule type="cellIs" dxfId="23" priority="14" operator="notEqual">
      <formula>D$19</formula>
    </cfRule>
  </conditionalFormatting>
  <conditionalFormatting sqref="D331:I331">
    <cfRule type="cellIs" dxfId="22" priority="13" operator="notEqual">
      <formula>D$332</formula>
    </cfRule>
  </conditionalFormatting>
  <conditionalFormatting sqref="H333">
    <cfRule type="cellIs" dxfId="21" priority="8" operator="notEqual">
      <formula>M$343</formula>
    </cfRule>
  </conditionalFormatting>
  <conditionalFormatting sqref="G73:G88">
    <cfRule type="cellIs" dxfId="20" priority="7" stopIfTrue="1" operator="notEqual">
      <formula>$E333</formula>
    </cfRule>
  </conditionalFormatting>
  <conditionalFormatting sqref="E333">
    <cfRule type="cellIs" dxfId="19" priority="2" operator="notEqual">
      <formula>K$337</formula>
    </cfRule>
  </conditionalFormatting>
  <conditionalFormatting sqref="F333">
    <cfRule type="cellIs" dxfId="18" priority="30" operator="notEqual">
      <formula>#REF!</formula>
    </cfRule>
  </conditionalFormatting>
  <conditionalFormatting sqref="I79:I80">
    <cfRule type="cellIs" dxfId="17" priority="1" stopIfTrue="1" operator="notEqual">
      <formula>$E339</formula>
    </cfRule>
  </conditionalFormatting>
  <dataValidations xWindow="896" yWindow="653" count="13">
    <dataValidation allowBlank="1" showInputMessage="1" showErrorMessage="1" prompt="Komórki muszą zawierać_x000a_dane ze Stanu Faktycznego _x000a_z konca roku poprzedniego" sqref="E71:E72 D71"/>
    <dataValidation allowBlank="1" showInputMessage="1" showErrorMessage="1" prompt="Środki pieniężne w memoriale muszą równać sie środkom pieniężnym_x000a_kasowo. Kasa=Memoriał (śr.pieniężne)_x000a__x000a_zmień depozyty" sqref="F333:G333"/>
    <dataValidation allowBlank="1" showInputMessage="1" showErrorMessage="1" prompt="Środki pieniężne w memoriale muszą równać sie środkom pieniężnym_x000a_kasowo. Kasa=Memoriał (śr.pieniężne)_x000a__x000a_Po zmianie gotówki pamiętaj o zmianie DEPOZYTÓW" sqref="E333"/>
    <dataValidation type="whole" operator="greaterThan" showInputMessage="1" showErrorMessage="1" errorTitle="Błąd Danych" error="Okno Zablokowane" sqref="D23:D62 D19:D21 H48:I48 I19:I47 E19:G64 H56 I49:I64 H49:H53">
      <formula1>0</formula1>
    </dataValidation>
    <dataValidation type="whole" operator="greaterThan" allowBlank="1" showInputMessage="1" showErrorMessage="1" errorTitle="Błąd" error="Wpisywana wartość musi być większa od zera." sqref="D162 D94:D95 D97 D302:D303 E305:G314 I93:I101 D231:G232 E124:G128 E283:G285 D234:G235 E186:G196 E199:G199 E131:G146 D229:G229 D226:G227 E254:G271 E276:G276 E278:G279 E300:G303 E184:G184 E156:G166 E295:G295 E328:G329 E242:G251 E93:G101 E104:G116 I104:I116 H220:I220 H209:I210 G203:G214 G216:G222 E203:F222">
      <formula1>0</formula1>
    </dataValidation>
    <dataValidation type="whole" allowBlank="1" showInputMessage="1" showErrorMessage="1" errorTitle="STOP !" error="Wartość komórki musi zawierać się w przedziale od -9999999 do 9999999" sqref="F334:F348">
      <formula1>-9999999</formula1>
      <formula2>9999999</formula2>
    </dataValidation>
    <dataValidation allowBlank="1" showInputMessage="1" showErrorMessage="1" promptTitle="STAN FUNDUSZU !!" prompt="Komórki muszą zawierać_x000a_dane ze Stanu Faktycznego _x000a_z konca roku poprzedniego" sqref="E73:E88"/>
    <dataValidation allowBlank="1" showInputMessage="1" showErrorMessage="1" errorTitle="STOP !" error="Wartość komórki musi zawierać się w przedziale od -9999999 do 9999999" sqref="L337"/>
    <dataValidation allowBlank="1" showInputMessage="1" showErrorMessage="1" prompt="Ma się różnić od Memroiału - WWO podaje wartość również kasowo" sqref="D361:G361"/>
    <dataValidation showInputMessage="1" showErrorMessage="1" promptTitle="Koszty samorządów" prompt="kwota kosztów = Kwota na realizację * 2,5%" sqref="E324:G324 E320:G320"/>
    <dataValidation allowBlank="1" showInputMessage="1" showErrorMessage="1" promptTitle="Stany Funduszu na początek" prompt="muszą się równać stanom na koniec roku poprzedniego" sqref="F71:G88 I71:I88"/>
    <dataValidation type="whole" operator="greaterThan" allowBlank="1" showInputMessage="1" showErrorMessage="1" sqref="I366:I375 D366:G375 D177:G179">
      <formula1>0</formula1>
    </dataValidation>
    <dataValidation type="whole" operator="greaterThan" allowBlank="1" showInputMessage="1" showErrorMessage="1" errorTitle="Błąd" error="Podana wartość musi być większa od zera." sqref="E318:G318 E322:G322">
      <formula1>0</formula1>
    </dataValidation>
  </dataValidations>
  <printOptions horizontalCentered="1" gridLines="1"/>
  <pageMargins left="0.19652777777777777" right="0.19652777777777777" top="0.2361111111111111" bottom="0.19652777777777777" header="0.51180555555555551" footer="0"/>
  <pageSetup paperSize="9" scale="32" firstPageNumber="0" orientation="portrait" r:id="rId1"/>
  <headerFooter alignWithMargins="0">
    <oddFooter>&amp;RStrona &amp;P</oddFooter>
  </headerFooter>
  <rowBreaks count="5" manualBreakCount="5">
    <brk id="89" max="16383" man="1"/>
    <brk id="181" max="16383" man="1"/>
    <brk id="287" max="10" man="1"/>
    <brk id="440" max="10" man="1"/>
    <brk id="585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1"/>
  <sheetViews>
    <sheetView tabSelected="1" view="pageBreakPreview" topLeftCell="A11" zoomScale="72" zoomScaleNormal="75" zoomScaleSheetLayoutView="72" workbookViewId="0">
      <selection activeCell="B21" sqref="B21:C21"/>
    </sheetView>
  </sheetViews>
  <sheetFormatPr defaultColWidth="9" defaultRowHeight="15.6"/>
  <cols>
    <col min="1" max="1" width="8" style="426" customWidth="1"/>
    <col min="2" max="2" width="125.3984375" style="427" customWidth="1"/>
    <col min="3" max="3" width="18.8984375" style="305" hidden="1" customWidth="1"/>
    <col min="4" max="4" width="40.8984375" style="305" hidden="1" customWidth="1"/>
    <col min="5" max="6" width="40.8984375" style="306" hidden="1" customWidth="1"/>
    <col min="7" max="7" width="19.3984375" style="1056" hidden="1" customWidth="1"/>
    <col min="8" max="8" width="8.59765625" style="306" hidden="1" customWidth="1"/>
    <col min="9" max="9" width="21.3984375" style="306" hidden="1" customWidth="1"/>
    <col min="10" max="10" width="26.5" style="306" customWidth="1"/>
    <col min="11" max="11" width="17.69921875" style="306" hidden="1" customWidth="1"/>
    <col min="12" max="12" width="9.8984375" style="841" hidden="1" customWidth="1"/>
    <col min="13" max="13" width="10.19921875" style="307" hidden="1" customWidth="1"/>
    <col min="14" max="14" width="14.8984375" style="307" hidden="1" customWidth="1"/>
    <col min="15" max="15" width="13.09765625" style="307" hidden="1" customWidth="1"/>
    <col min="16" max="18" width="11.19921875" style="307" hidden="1" customWidth="1"/>
    <col min="19" max="19" width="9.5" style="307" hidden="1" customWidth="1"/>
    <col min="20" max="20" width="14" style="307" hidden="1" customWidth="1"/>
    <col min="21" max="21" width="2.19921875" style="307" hidden="1" customWidth="1"/>
    <col min="22" max="22" width="11.19921875" style="307" hidden="1" customWidth="1"/>
    <col min="23" max="23" width="10.69921875" style="307" hidden="1" customWidth="1"/>
    <col min="24" max="26" width="11.19921875" style="307" hidden="1" customWidth="1"/>
    <col min="27" max="27" width="8" style="307" hidden="1" customWidth="1"/>
    <col min="28" max="39" width="0" style="307" hidden="1" customWidth="1"/>
    <col min="40" max="41" width="0" style="308" hidden="1" customWidth="1"/>
    <col min="42" max="50" width="0" style="306" hidden="1" customWidth="1"/>
    <col min="51" max="16384" width="9" style="306"/>
  </cols>
  <sheetData>
    <row r="1" spans="1:41" s="301" customFormat="1" ht="24.9" hidden="1" customHeight="1">
      <c r="A1" s="2254" t="s">
        <v>0</v>
      </c>
      <c r="B1" s="2254"/>
      <c r="C1" s="300"/>
      <c r="D1" s="300"/>
      <c r="G1" s="1051"/>
      <c r="J1" s="302"/>
      <c r="L1" s="983"/>
      <c r="M1" s="984"/>
      <c r="N1" s="984"/>
      <c r="O1" s="984"/>
      <c r="P1" s="984"/>
      <c r="Q1" s="984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4"/>
      <c r="AO1" s="304"/>
    </row>
    <row r="2" spans="1:41" hidden="1">
      <c r="A2" s="2255" t="s">
        <v>1</v>
      </c>
      <c r="B2" s="2255"/>
      <c r="J2" s="777"/>
      <c r="K2" s="777"/>
      <c r="L2" s="985"/>
      <c r="M2" s="986"/>
      <c r="N2" s="986"/>
      <c r="O2" s="986"/>
      <c r="P2" s="986"/>
      <c r="Q2" s="986"/>
    </row>
    <row r="3" spans="1:41" s="301" customFormat="1" ht="75" hidden="1" customHeight="1">
      <c r="A3" s="2254" t="s">
        <v>2</v>
      </c>
      <c r="B3" s="2254"/>
      <c r="C3" s="309"/>
      <c r="D3" s="309"/>
      <c r="E3" s="309"/>
      <c r="F3" s="309"/>
      <c r="G3" s="1060"/>
      <c r="H3" s="309"/>
      <c r="I3" s="2261" t="s">
        <v>1121</v>
      </c>
      <c r="J3" s="2261"/>
      <c r="K3" s="2261"/>
      <c r="L3" s="983"/>
      <c r="M3" s="984"/>
      <c r="N3" s="984"/>
      <c r="O3" s="984"/>
      <c r="P3" s="984"/>
      <c r="Q3" s="984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4"/>
      <c r="AO3" s="304"/>
    </row>
    <row r="4" spans="1:41" ht="15.75" hidden="1" customHeight="1">
      <c r="A4" s="2255" t="s">
        <v>1</v>
      </c>
      <c r="B4" s="2255"/>
      <c r="C4" s="310"/>
      <c r="D4" s="310"/>
      <c r="E4" s="310"/>
      <c r="F4" s="310"/>
      <c r="G4" s="1061"/>
      <c r="H4" s="310"/>
      <c r="I4" s="955"/>
      <c r="J4" s="956"/>
      <c r="K4" s="956"/>
      <c r="L4" s="985"/>
      <c r="M4" s="986"/>
      <c r="N4" s="986"/>
      <c r="O4" s="986"/>
      <c r="P4" s="986"/>
      <c r="Q4" s="986"/>
    </row>
    <row r="5" spans="1:41" s="301" customFormat="1" ht="24.9" hidden="1" customHeight="1">
      <c r="A5" s="2254" t="s">
        <v>3</v>
      </c>
      <c r="B5" s="2254"/>
      <c r="C5" s="310"/>
      <c r="D5" s="310"/>
      <c r="E5" s="310"/>
      <c r="F5" s="310"/>
      <c r="G5" s="1061"/>
      <c r="H5" s="310"/>
      <c r="I5" s="955"/>
      <c r="J5" s="956"/>
      <c r="K5" s="957"/>
      <c r="L5" s="983"/>
      <c r="M5" s="984"/>
      <c r="N5" s="984"/>
      <c r="O5" s="984"/>
      <c r="P5" s="984"/>
      <c r="Q5" s="984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4"/>
      <c r="AO5" s="304"/>
    </row>
    <row r="6" spans="1:41" ht="18.75" hidden="1" customHeight="1">
      <c r="A6" s="2255" t="s">
        <v>1</v>
      </c>
      <c r="B6" s="2255"/>
      <c r="C6" s="310"/>
      <c r="D6" s="310"/>
      <c r="E6" s="310"/>
      <c r="F6" s="310"/>
      <c r="G6" s="1061"/>
      <c r="H6" s="310"/>
      <c r="I6" s="310"/>
      <c r="J6" s="310"/>
      <c r="K6" s="310"/>
      <c r="L6" s="985"/>
      <c r="M6" s="986"/>
      <c r="N6" s="986"/>
      <c r="O6" s="986"/>
      <c r="P6" s="986"/>
      <c r="Q6" s="986"/>
    </row>
    <row r="7" spans="1:41" ht="18" hidden="1">
      <c r="A7" s="311"/>
      <c r="B7" s="311"/>
      <c r="C7" s="301"/>
      <c r="D7" s="301"/>
      <c r="E7" s="301"/>
      <c r="F7" s="301"/>
      <c r="G7" s="1051"/>
      <c r="H7" s="301"/>
      <c r="I7" s="301"/>
      <c r="J7" s="434"/>
      <c r="K7" s="301"/>
      <c r="L7" s="985"/>
      <c r="M7" s="986"/>
      <c r="N7" s="986"/>
      <c r="O7" s="986"/>
      <c r="P7" s="986"/>
      <c r="Q7" s="986"/>
    </row>
    <row r="8" spans="1:41" s="301" customFormat="1" ht="24.9" hidden="1" customHeight="1">
      <c r="A8" s="2254" t="s">
        <v>4</v>
      </c>
      <c r="B8" s="2254"/>
      <c r="C8" s="312"/>
      <c r="D8" s="312"/>
      <c r="E8" s="312"/>
      <c r="F8" s="312"/>
      <c r="G8" s="1067"/>
      <c r="H8" s="312"/>
      <c r="I8" s="312"/>
      <c r="J8" s="2084" t="s">
        <v>1056</v>
      </c>
      <c r="K8" s="312"/>
      <c r="L8" s="983"/>
      <c r="M8" s="984"/>
      <c r="N8" s="984"/>
      <c r="O8" s="984"/>
      <c r="P8" s="984"/>
      <c r="Q8" s="984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04"/>
    </row>
    <row r="9" spans="1:41" hidden="1">
      <c r="A9" s="2255"/>
      <c r="B9" s="2255"/>
      <c r="L9" s="985"/>
      <c r="M9" s="986"/>
      <c r="N9" s="986"/>
      <c r="O9" s="986"/>
      <c r="P9" s="986"/>
      <c r="Q9" s="986"/>
    </row>
    <row r="10" spans="1:41" ht="38.25" hidden="1" customHeight="1">
      <c r="A10" s="313"/>
      <c r="B10" s="314"/>
      <c r="J10" s="2264"/>
      <c r="K10" s="2264"/>
      <c r="L10" s="985"/>
      <c r="M10" s="986"/>
      <c r="N10" s="986"/>
      <c r="O10" s="986"/>
      <c r="P10" s="986"/>
      <c r="Q10" s="986"/>
    </row>
    <row r="11" spans="1:41" s="301" customFormat="1" ht="18">
      <c r="A11" s="2265" t="s">
        <v>1120</v>
      </c>
      <c r="B11" s="2265"/>
      <c r="C11" s="2265"/>
      <c r="D11" s="2265"/>
      <c r="E11" s="2265"/>
      <c r="F11" s="2265"/>
      <c r="G11" s="2265"/>
      <c r="H11" s="2265"/>
      <c r="I11" s="2265"/>
      <c r="J11" s="2265"/>
      <c r="K11" s="2265"/>
      <c r="L11" s="983"/>
      <c r="M11" s="984"/>
      <c r="N11" s="984"/>
      <c r="O11" s="984"/>
      <c r="P11" s="984"/>
      <c r="Q11" s="984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4"/>
      <c r="AO11" s="304"/>
    </row>
    <row r="12" spans="1:41" s="301" customFormat="1" ht="21">
      <c r="A12" s="2266" t="s">
        <v>1138</v>
      </c>
      <c r="B12" s="2266"/>
      <c r="C12" s="2266"/>
      <c r="D12" s="2266"/>
      <c r="E12" s="2266"/>
      <c r="F12" s="2266"/>
      <c r="G12" s="2266"/>
      <c r="H12" s="2266"/>
      <c r="I12" s="2266"/>
      <c r="J12" s="2266"/>
      <c r="K12" s="2266"/>
      <c r="L12" s="983"/>
      <c r="M12" s="984"/>
      <c r="N12" s="984"/>
      <c r="O12" s="984"/>
      <c r="P12" s="984"/>
      <c r="Q12" s="984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4"/>
      <c r="AO12" s="304"/>
    </row>
    <row r="13" spans="1:41" s="301" customFormat="1" ht="18.600000000000001" thickBot="1">
      <c r="A13" s="315" t="s">
        <v>6</v>
      </c>
      <c r="B13" s="316"/>
      <c r="C13" s="316"/>
      <c r="D13" s="316"/>
      <c r="E13" s="316"/>
      <c r="F13" s="316"/>
      <c r="G13" s="1072"/>
      <c r="H13" s="316"/>
      <c r="I13" s="316"/>
      <c r="J13" s="316"/>
      <c r="K13" s="316"/>
      <c r="L13" s="983"/>
      <c r="M13" s="984"/>
      <c r="N13" s="984"/>
      <c r="O13" s="984"/>
      <c r="P13" s="984"/>
      <c r="Q13" s="984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4"/>
      <c r="AO13" s="304"/>
    </row>
    <row r="14" spans="1:41" s="320" customFormat="1" ht="157.5" customHeight="1" thickBot="1">
      <c r="A14" s="2239" t="s">
        <v>7</v>
      </c>
      <c r="B14" s="2238" t="s">
        <v>8</v>
      </c>
      <c r="C14" s="2238"/>
      <c r="D14" s="810" t="s">
        <v>1018</v>
      </c>
      <c r="E14" s="317" t="str">
        <f>'Pl 2016-20 PFC'!E67</f>
        <v>Przewidywane 
wykonanie 
w 2015</v>
      </c>
      <c r="F14" s="317" t="str">
        <f>'Pl 2016-20 PFC'!F67</f>
        <v>Projekt planu 
na 2016 r.</v>
      </c>
      <c r="G14" s="1583" t="s">
        <v>1139</v>
      </c>
      <c r="H14" s="317" t="s">
        <v>1016</v>
      </c>
      <c r="I14" s="317" t="str">
        <f>'Pl 2016-20 PFC'!H67</f>
        <v xml:space="preserve">Zmiany  </v>
      </c>
      <c r="J14" s="317" t="s">
        <v>1144</v>
      </c>
      <c r="K14" s="317" t="e">
        <f>'Pl 2016-20 PFC'!#REF!</f>
        <v>#REF!</v>
      </c>
      <c r="L14" s="987" t="s">
        <v>1042</v>
      </c>
      <c r="M14" s="988"/>
      <c r="N14" s="988"/>
      <c r="O14" s="988"/>
      <c r="P14" s="1020">
        <f>G18-G56-G54</f>
        <v>4637345000</v>
      </c>
      <c r="Q14" s="1020"/>
      <c r="R14" s="1020">
        <f t="shared" ref="R14:Z14" si="0">I18-I56-I54</f>
        <v>0</v>
      </c>
      <c r="S14" s="1020">
        <f t="shared" si="0"/>
        <v>4637345000</v>
      </c>
      <c r="T14" s="1020" t="e">
        <f t="shared" si="0"/>
        <v>#REF!</v>
      </c>
      <c r="U14" s="1020">
        <f t="shared" si="0"/>
        <v>-116.8378324420712</v>
      </c>
      <c r="V14" s="1020">
        <f t="shared" si="0"/>
        <v>0</v>
      </c>
      <c r="W14" s="1020">
        <f t="shared" si="0"/>
        <v>4723723000</v>
      </c>
      <c r="X14" s="1020">
        <f t="shared" si="0"/>
        <v>5043693226</v>
      </c>
      <c r="Y14" s="1020">
        <f t="shared" si="0"/>
        <v>0</v>
      </c>
      <c r="Z14" s="1020">
        <f t="shared" si="0"/>
        <v>4832429000</v>
      </c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9"/>
      <c r="AO14" s="319"/>
    </row>
    <row r="15" spans="1:41" s="320" customFormat="1" ht="16.5" customHeight="1" thickBot="1">
      <c r="A15" s="2239"/>
      <c r="B15" s="2238"/>
      <c r="C15" s="2238"/>
      <c r="D15" s="811"/>
      <c r="E15" s="1585" t="str">
        <f>'Pl 2016-20 PFC'!E16:I16</f>
        <v>w tysiącach złotych</v>
      </c>
      <c r="F15" s="1586"/>
      <c r="G15" s="2240" t="s">
        <v>9</v>
      </c>
      <c r="H15" s="2241"/>
      <c r="I15" s="2241"/>
      <c r="J15" s="2241"/>
      <c r="K15" s="2242"/>
      <c r="L15" s="987"/>
      <c r="M15" s="988"/>
      <c r="N15" s="988"/>
      <c r="O15" s="988"/>
      <c r="P15" s="1020" t="e">
        <f>G373</f>
        <v>#REF!</v>
      </c>
      <c r="Q15" s="1020"/>
      <c r="R15" s="1020">
        <f>I373</f>
        <v>0</v>
      </c>
      <c r="S15" s="1020">
        <f>J373</f>
        <v>4626988000</v>
      </c>
      <c r="T15" s="1020" t="e">
        <f>K373</f>
        <v>#REF!</v>
      </c>
      <c r="U15" s="1020">
        <f>L373</f>
        <v>0</v>
      </c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9"/>
      <c r="AO15" s="319"/>
    </row>
    <row r="16" spans="1:41" s="328" customFormat="1" ht="14.4" thickBot="1">
      <c r="A16" s="321">
        <v>1</v>
      </c>
      <c r="B16" s="322">
        <v>2</v>
      </c>
      <c r="C16" s="323"/>
      <c r="D16" s="323"/>
      <c r="E16" s="324">
        <v>3</v>
      </c>
      <c r="F16" s="1587">
        <v>4</v>
      </c>
      <c r="G16" s="1083">
        <v>3</v>
      </c>
      <c r="H16" s="325"/>
      <c r="I16" s="325">
        <v>4</v>
      </c>
      <c r="J16" s="325">
        <v>3</v>
      </c>
      <c r="K16" s="324">
        <v>7</v>
      </c>
      <c r="L16" s="989"/>
      <c r="M16" s="990"/>
      <c r="N16" s="990"/>
      <c r="O16" s="990"/>
      <c r="P16" s="990"/>
      <c r="Q16" s="990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7"/>
      <c r="AO16" s="327"/>
    </row>
    <row r="17" spans="1:41" s="328" customFormat="1" ht="9.9" customHeight="1">
      <c r="A17" s="329"/>
      <c r="B17" s="330"/>
      <c r="C17" s="331"/>
      <c r="D17" s="331"/>
      <c r="E17" s="332"/>
      <c r="F17" s="332"/>
      <c r="G17" s="1091"/>
      <c r="H17" s="332"/>
      <c r="I17" s="332"/>
      <c r="J17" s="332"/>
      <c r="K17" s="333"/>
      <c r="L17" s="989"/>
      <c r="M17" s="990"/>
      <c r="N17" s="990"/>
      <c r="O17" s="990"/>
      <c r="P17" s="990"/>
      <c r="Q17" s="990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7"/>
      <c r="AO17" s="327"/>
    </row>
    <row r="18" spans="1:41" s="336" customFormat="1" ht="21">
      <c r="A18" s="2135" t="s">
        <v>515</v>
      </c>
      <c r="B18" s="2262" t="s">
        <v>11</v>
      </c>
      <c r="C18" s="2262"/>
      <c r="D18" s="968">
        <f>SUM(D19:D20)</f>
        <v>4778362000</v>
      </c>
      <c r="E18" s="962">
        <f>SUM(E19:E20)</f>
        <v>4723723000</v>
      </c>
      <c r="F18" s="962">
        <f t="shared" ref="F18:K18" si="1">SUM(F19:F20)</f>
        <v>5033693226</v>
      </c>
      <c r="G18" s="2095">
        <f t="shared" si="1"/>
        <v>4842786000</v>
      </c>
      <c r="H18" s="2096">
        <f t="shared" si="1"/>
        <v>190907226</v>
      </c>
      <c r="I18" s="2096">
        <f t="shared" si="1"/>
        <v>0</v>
      </c>
      <c r="J18" s="2096">
        <f t="shared" si="1"/>
        <v>4842786000</v>
      </c>
      <c r="K18" s="962" t="e">
        <f t="shared" si="1"/>
        <v>#REF!</v>
      </c>
      <c r="L18" s="991">
        <f>G18/E18%</f>
        <v>102.52053306258644</v>
      </c>
      <c r="M18" s="992"/>
      <c r="N18" s="993">
        <f>E373+E56+E54</f>
        <v>4723723000</v>
      </c>
      <c r="O18" s="993">
        <f>F373+F56+F54</f>
        <v>5043693226</v>
      </c>
      <c r="P18" s="1025">
        <f>I373+I56+I54</f>
        <v>0</v>
      </c>
      <c r="Q18" s="1025">
        <f>J373+J56+J54</f>
        <v>4832429000</v>
      </c>
      <c r="R18" s="1026" t="e">
        <f>K373+K56+K54</f>
        <v>#REF!</v>
      </c>
      <c r="S18" s="1026"/>
      <c r="T18" s="1026" t="e">
        <f>G373+G56+G54</f>
        <v>#REF!</v>
      </c>
      <c r="U18" s="335"/>
      <c r="V18" s="334"/>
      <c r="W18" s="334"/>
      <c r="X18" s="334"/>
      <c r="Y18" s="334"/>
      <c r="Z18" s="334"/>
      <c r="AA18" s="335">
        <f>E18-E112</f>
        <v>0</v>
      </c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</row>
    <row r="19" spans="1:41" s="336" customFormat="1" ht="18" hidden="1">
      <c r="A19" s="2150" t="s">
        <v>14</v>
      </c>
      <c r="B19" s="2256" t="s">
        <v>12</v>
      </c>
      <c r="C19" s="2256"/>
      <c r="D19" s="337">
        <f>SUM(D23,D26,D27,D28,D30,D32,D34,D36,D39,D41,D43,D45:D46,D57,D59,D61)</f>
        <v>4687837000</v>
      </c>
      <c r="E19" s="931">
        <f>SUM(E23,E26,E27,E28,E30,E32,E34,E36,E39,E41,E43,E45:E46,E57,E59,E61)</f>
        <v>4666867000</v>
      </c>
      <c r="F19" s="931">
        <f>SUM(F23,F26,F27,F28,F30,F32,F34,F36,F39,F41,F43,F45:F46,F57,F59,F61)</f>
        <v>4825693226</v>
      </c>
      <c r="G19" s="1610">
        <f>SUM(G23,G26,G27,G28,G30,G32,G34,G36,G39,G41,G43,G45:G46,G57,G59,G61)</f>
        <v>4692897000</v>
      </c>
      <c r="H19" s="930">
        <f>F19-G19</f>
        <v>132796226</v>
      </c>
      <c r="I19" s="931">
        <f>SUM(I23,I26,I27,I28,I30,I32,I34,I36,I39,I41,I43,I45:I46,I57,I59,I61)</f>
        <v>0</v>
      </c>
      <c r="J19" s="931">
        <f>SUM(J23,J26,J27,J28,J30,J32,J34,J36,J39,J41,J43,J45:J46,J57,J59,J61)</f>
        <v>4692897000</v>
      </c>
      <c r="K19" s="931" t="e">
        <f>SUM(K23,K26,K27,K28,K30,K32,K34,K36,K39,K41,K43,K45:K46,K57,K59,K61)</f>
        <v>#REF!</v>
      </c>
      <c r="L19" s="991">
        <f t="shared" ref="L19:L82" si="2">G19/E19%</f>
        <v>100.55776177036971</v>
      </c>
      <c r="M19" s="992"/>
      <c r="N19" s="993">
        <f>E18-N18</f>
        <v>0</v>
      </c>
      <c r="O19" s="993">
        <f>F18-O18</f>
        <v>-10000000</v>
      </c>
      <c r="P19" s="993">
        <f>I18-P18</f>
        <v>0</v>
      </c>
      <c r="Q19" s="993">
        <f>J18-Q18</f>
        <v>10357000</v>
      </c>
      <c r="R19" s="335" t="e">
        <f>K18-R18</f>
        <v>#REF!</v>
      </c>
      <c r="S19" s="335"/>
      <c r="T19" s="335" t="e">
        <f>M18-T18</f>
        <v>#REF!</v>
      </c>
      <c r="U19" s="335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</row>
    <row r="20" spans="1:41" s="336" customFormat="1" ht="18" hidden="1">
      <c r="A20" s="2151" t="s">
        <v>18</v>
      </c>
      <c r="B20" s="2257" t="s">
        <v>13</v>
      </c>
      <c r="C20" s="2257"/>
      <c r="D20" s="338">
        <f>SUM(D24,D31,D35,D58,D44,D40)</f>
        <v>90525000</v>
      </c>
      <c r="E20" s="932">
        <f>SUM(E24,E31,E35,E58,E44,E40)</f>
        <v>56856000</v>
      </c>
      <c r="F20" s="932">
        <f>SUM(F24,F31,F35,F58,F44,F40)</f>
        <v>208000000</v>
      </c>
      <c r="G20" s="1160">
        <f>SUM(G24,G31,G35,G58,G44,G40)</f>
        <v>149889000</v>
      </c>
      <c r="H20" s="930">
        <f>F20-G20</f>
        <v>58111000</v>
      </c>
      <c r="I20" s="932">
        <f>SUM(I24,I31,I35,I58,I44,I40)</f>
        <v>0</v>
      </c>
      <c r="J20" s="932">
        <f>SUM(J24,J31,J35,J58,J44,J40)</f>
        <v>149889000</v>
      </c>
      <c r="K20" s="932" t="e">
        <f>SUM(K24,K31,K35,K58,K44,K40)</f>
        <v>#REF!</v>
      </c>
      <c r="L20" s="991">
        <f t="shared" si="2"/>
        <v>263.629168425496</v>
      </c>
      <c r="M20" s="992"/>
      <c r="N20" s="992"/>
      <c r="O20" s="992"/>
      <c r="P20" s="992"/>
      <c r="Q20" s="992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</row>
    <row r="21" spans="1:41" s="342" customFormat="1" ht="18">
      <c r="A21" s="2152"/>
      <c r="B21" s="2258"/>
      <c r="C21" s="2258"/>
      <c r="D21" s="812"/>
      <c r="E21" s="933"/>
      <c r="F21" s="933"/>
      <c r="G21" s="1104"/>
      <c r="H21" s="933"/>
      <c r="I21" s="933"/>
      <c r="J21" s="933"/>
      <c r="K21" s="933"/>
      <c r="L21" s="991"/>
      <c r="M21" s="994"/>
      <c r="N21" s="995">
        <f>E18-N18</f>
        <v>0</v>
      </c>
      <c r="O21" s="995">
        <f>F18-O18</f>
        <v>-10000000</v>
      </c>
      <c r="P21" s="995">
        <f>I18-P18</f>
        <v>0</v>
      </c>
      <c r="Q21" s="995">
        <f>J18-Q18</f>
        <v>10357000</v>
      </c>
      <c r="R21" s="340" t="e">
        <f>K18-R18</f>
        <v>#REF!</v>
      </c>
      <c r="S21" s="340"/>
      <c r="T21" s="340">
        <f>G18-G18</f>
        <v>0</v>
      </c>
      <c r="U21" s="340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41"/>
      <c r="AO21" s="341"/>
    </row>
    <row r="22" spans="1:41" s="356" customFormat="1" ht="60.75" customHeight="1">
      <c r="A22" s="2153">
        <v>1</v>
      </c>
      <c r="B22" s="2157" t="s">
        <v>649</v>
      </c>
      <c r="C22" s="2155"/>
      <c r="D22" s="848">
        <f>SUM(D23:D24)</f>
        <v>3339000</v>
      </c>
      <c r="E22" s="934">
        <f>SUM(E23:E24)</f>
        <v>3339000</v>
      </c>
      <c r="F22" s="934">
        <f>SUM(F23:F24)</f>
        <v>78000000</v>
      </c>
      <c r="G22" s="2086">
        <f>SUM(G23:G24)</f>
        <v>49500000</v>
      </c>
      <c r="H22" s="2087">
        <f>G22-F22</f>
        <v>-28500000</v>
      </c>
      <c r="I22" s="2087">
        <f>SUM(I23:I24)</f>
        <v>0</v>
      </c>
      <c r="J22" s="2087">
        <f>SUM(J23:J24)</f>
        <v>49500000</v>
      </c>
      <c r="K22" s="934" t="e">
        <f>SUM(K23:K24)</f>
        <v>#REF!</v>
      </c>
      <c r="L22" s="996">
        <f t="shared" si="2"/>
        <v>1482.4797843665767</v>
      </c>
      <c r="M22" s="997"/>
      <c r="N22" s="997"/>
      <c r="O22" s="997"/>
      <c r="P22" s="997"/>
      <c r="Q22" s="997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</row>
    <row r="23" spans="1:41" s="356" customFormat="1" ht="18" hidden="1">
      <c r="A23" s="2153" t="s">
        <v>16</v>
      </c>
      <c r="B23" s="2156" t="s">
        <v>12</v>
      </c>
      <c r="C23" s="2155"/>
      <c r="D23" s="848">
        <f>D119+D154</f>
        <v>263000</v>
      </c>
      <c r="E23" s="934">
        <f>E119+E154</f>
        <v>263000</v>
      </c>
      <c r="F23" s="935">
        <f>F119+F154</f>
        <v>6900000</v>
      </c>
      <c r="G23" s="2088">
        <f>G119+G154</f>
        <v>3900000</v>
      </c>
      <c r="H23" s="2087">
        <f>F23-G23</f>
        <v>3000000</v>
      </c>
      <c r="I23" s="2089">
        <f>I119+I154</f>
        <v>0</v>
      </c>
      <c r="J23" s="2089">
        <f>J119+J154</f>
        <v>3900000</v>
      </c>
      <c r="K23" s="935" t="e">
        <f>K119+K154</f>
        <v>#REF!</v>
      </c>
      <c r="L23" s="996">
        <f t="shared" si="2"/>
        <v>1482.8897338403042</v>
      </c>
      <c r="M23" s="997"/>
      <c r="N23" s="997"/>
      <c r="O23" s="997"/>
      <c r="P23" s="997"/>
      <c r="Q23" s="997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</row>
    <row r="24" spans="1:41" s="356" customFormat="1" ht="18" hidden="1">
      <c r="A24" s="2153" t="s">
        <v>17</v>
      </c>
      <c r="B24" s="2156" t="s">
        <v>13</v>
      </c>
      <c r="C24" s="2155"/>
      <c r="D24" s="848">
        <f>SUM(D278+D295)</f>
        <v>3076000</v>
      </c>
      <c r="E24" s="934">
        <f>SUM(E278+E295)</f>
        <v>3076000</v>
      </c>
      <c r="F24" s="935">
        <f>SUM(F278+F295)</f>
        <v>71100000</v>
      </c>
      <c r="G24" s="2088">
        <f>SUM(G278+G295)</f>
        <v>45600000</v>
      </c>
      <c r="H24" s="2087">
        <f>F24-G24</f>
        <v>25500000</v>
      </c>
      <c r="I24" s="2089">
        <f>SUM(I278+I295)</f>
        <v>0</v>
      </c>
      <c r="J24" s="2089">
        <f>SUM(J278+J295)</f>
        <v>45600000</v>
      </c>
      <c r="K24" s="935" t="e">
        <f>SUM(K278+K295)</f>
        <v>#REF!</v>
      </c>
      <c r="L24" s="996">
        <f t="shared" si="2"/>
        <v>1482.4447334200261</v>
      </c>
      <c r="M24" s="997"/>
      <c r="N24" s="997"/>
      <c r="O24" s="997"/>
      <c r="P24" s="997"/>
      <c r="Q24" s="997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</row>
    <row r="25" spans="1:41" s="356" customFormat="1" ht="18" hidden="1">
      <c r="A25" s="2153">
        <v>2</v>
      </c>
      <c r="B25" s="2156" t="s">
        <v>338</v>
      </c>
      <c r="C25" s="2155"/>
      <c r="D25" s="848">
        <f>SUM(D26:D26)</f>
        <v>48000000</v>
      </c>
      <c r="E25" s="934">
        <f>SUM(E26:E26)</f>
        <v>33275000</v>
      </c>
      <c r="F25" s="935">
        <f>SUM(F26:F26)</f>
        <v>17000000</v>
      </c>
      <c r="G25" s="2090">
        <f>SUM(G26:G26)</f>
        <v>0</v>
      </c>
      <c r="H25" s="2091">
        <f t="shared" ref="H25:H60" si="3">G25-F25</f>
        <v>-17000000</v>
      </c>
      <c r="I25" s="2092">
        <f>SUM(I26:I26)</f>
        <v>0</v>
      </c>
      <c r="J25" s="2092">
        <f>SUM(J26:J26)</f>
        <v>0</v>
      </c>
      <c r="K25" s="1353" t="e">
        <f>SUM(K26:K26)</f>
        <v>#REF!</v>
      </c>
      <c r="L25" s="996">
        <f t="shared" si="2"/>
        <v>0</v>
      </c>
      <c r="M25" s="997"/>
      <c r="N25" s="997"/>
      <c r="O25" s="997"/>
      <c r="P25" s="997"/>
      <c r="Q25" s="997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</row>
    <row r="26" spans="1:41" s="356" customFormat="1" ht="18" hidden="1">
      <c r="A26" s="2153"/>
      <c r="B26" s="2156" t="s">
        <v>12</v>
      </c>
      <c r="C26" s="2155"/>
      <c r="D26" s="848">
        <f>SUM(D118,D153,D197,D198)</f>
        <v>48000000</v>
      </c>
      <c r="E26" s="934">
        <f>SUM(E118,E153,E197,E198)</f>
        <v>33275000</v>
      </c>
      <c r="F26" s="935">
        <f>SUM(F118,F153,F197,F198)</f>
        <v>17000000</v>
      </c>
      <c r="G26" s="2088">
        <f>SUM(G118,G153,G197,G198)</f>
        <v>0</v>
      </c>
      <c r="H26" s="2087">
        <f t="shared" si="3"/>
        <v>-17000000</v>
      </c>
      <c r="I26" s="2089">
        <f>SUM(I118,I153,I197,I198)</f>
        <v>0</v>
      </c>
      <c r="J26" s="2089">
        <f>SUM(J118,J153,J197,J198)</f>
        <v>0</v>
      </c>
      <c r="K26" s="935" t="e">
        <f>SUM(K118,K153,K197,K198)</f>
        <v>#REF!</v>
      </c>
      <c r="L26" s="996">
        <f t="shared" si="2"/>
        <v>0</v>
      </c>
      <c r="M26" s="997"/>
      <c r="N26" s="997"/>
      <c r="O26" s="997"/>
      <c r="P26" s="997"/>
      <c r="Q26" s="997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</row>
    <row r="27" spans="1:41" s="356" customFormat="1" ht="18">
      <c r="A27" s="2153">
        <v>2</v>
      </c>
      <c r="B27" s="2156" t="s">
        <v>23</v>
      </c>
      <c r="C27" s="2155"/>
      <c r="D27" s="848">
        <f>SUM(D157)</f>
        <v>2980196000</v>
      </c>
      <c r="E27" s="934">
        <f>SUM(E157)</f>
        <v>2980196000</v>
      </c>
      <c r="F27" s="935">
        <f>SUM(F157)</f>
        <v>3020000000</v>
      </c>
      <c r="G27" s="2088">
        <f>SUM(G157)</f>
        <v>2985000000</v>
      </c>
      <c r="H27" s="2087">
        <f t="shared" si="3"/>
        <v>-35000000</v>
      </c>
      <c r="I27" s="2089">
        <f>SUM(I157)</f>
        <v>0</v>
      </c>
      <c r="J27" s="2089">
        <f>SUM(J157)</f>
        <v>2985000000</v>
      </c>
      <c r="K27" s="935" t="e">
        <f>SUM(K157)</f>
        <v>#REF!</v>
      </c>
      <c r="L27" s="996">
        <f t="shared" si="2"/>
        <v>100.16119745144279</v>
      </c>
      <c r="M27" s="997"/>
      <c r="N27" s="997"/>
      <c r="O27" s="997"/>
      <c r="P27" s="997"/>
      <c r="Q27" s="997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</row>
    <row r="28" spans="1:41" s="356" customFormat="1" ht="54">
      <c r="A28" s="2153">
        <v>3</v>
      </c>
      <c r="B28" s="2157" t="s">
        <v>648</v>
      </c>
      <c r="C28" s="2155"/>
      <c r="D28" s="848">
        <f>SUM(D120)</f>
        <v>60000000</v>
      </c>
      <c r="E28" s="934">
        <f>SUM(E120)</f>
        <v>56000000</v>
      </c>
      <c r="F28" s="934">
        <f>SUM(F120)</f>
        <v>57000000</v>
      </c>
      <c r="G28" s="2086">
        <f>SUM(G120)</f>
        <v>57000000</v>
      </c>
      <c r="H28" s="2087">
        <f t="shared" si="3"/>
        <v>0</v>
      </c>
      <c r="I28" s="2087">
        <f>SUM(I120)</f>
        <v>0</v>
      </c>
      <c r="J28" s="2087">
        <f>SUM(J120)</f>
        <v>57000000</v>
      </c>
      <c r="K28" s="934" t="e">
        <f>SUM(K120)</f>
        <v>#REF!</v>
      </c>
      <c r="L28" s="996">
        <f t="shared" si="2"/>
        <v>101.78571428571429</v>
      </c>
      <c r="M28" s="997"/>
      <c r="N28" s="997"/>
      <c r="O28" s="997"/>
      <c r="P28" s="997"/>
      <c r="Q28" s="997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</row>
    <row r="29" spans="1:41" s="356" customFormat="1" ht="18">
      <c r="A29" s="2153">
        <v>4</v>
      </c>
      <c r="B29" s="2156" t="s">
        <v>26</v>
      </c>
      <c r="C29" s="2155"/>
      <c r="D29" s="848">
        <f>SUM(D30:D31)</f>
        <v>3500000</v>
      </c>
      <c r="E29" s="934">
        <f>SUM(E30:E31)</f>
        <v>3282000</v>
      </c>
      <c r="F29" s="935">
        <f>SUM(F30:F31)</f>
        <v>4220000</v>
      </c>
      <c r="G29" s="2088">
        <f>SUM(G30:G31)</f>
        <v>3220000</v>
      </c>
      <c r="H29" s="2087">
        <f t="shared" si="3"/>
        <v>-1000000</v>
      </c>
      <c r="I29" s="2089">
        <f>SUM(I30:I31)</f>
        <v>0</v>
      </c>
      <c r="J29" s="2089">
        <f>SUM(J30:J31)</f>
        <v>3220000</v>
      </c>
      <c r="K29" s="935" t="e">
        <f>SUM(K30:K31)</f>
        <v>#REF!</v>
      </c>
      <c r="L29" s="996">
        <f t="shared" si="2"/>
        <v>98.110907982937235</v>
      </c>
      <c r="M29" s="997"/>
      <c r="N29" s="997"/>
      <c r="O29" s="997"/>
      <c r="P29" s="997"/>
      <c r="Q29" s="997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</row>
    <row r="30" spans="1:41" s="356" customFormat="1" ht="18" hidden="1">
      <c r="A30" s="2153" t="s">
        <v>27</v>
      </c>
      <c r="B30" s="2156" t="s">
        <v>12</v>
      </c>
      <c r="C30" s="2155"/>
      <c r="D30" s="848">
        <f>SUM(D121,D158)</f>
        <v>3500000</v>
      </c>
      <c r="E30" s="934">
        <f>SUM(E121,E158)</f>
        <v>3282000</v>
      </c>
      <c r="F30" s="935">
        <f>SUM(F121,F158)</f>
        <v>4220000</v>
      </c>
      <c r="G30" s="2088">
        <f>SUM(G121,G158)</f>
        <v>3220000</v>
      </c>
      <c r="H30" s="2087">
        <f t="shared" si="3"/>
        <v>-1000000</v>
      </c>
      <c r="I30" s="2089">
        <f>SUM(I121,I158)</f>
        <v>0</v>
      </c>
      <c r="J30" s="2089">
        <f>SUM(J121,J158)</f>
        <v>3220000</v>
      </c>
      <c r="K30" s="935" t="e">
        <f>SUM(K121,K158)</f>
        <v>#REF!</v>
      </c>
      <c r="L30" s="996">
        <f t="shared" si="2"/>
        <v>98.110907982937235</v>
      </c>
      <c r="M30" s="997"/>
      <c r="N30" s="997"/>
      <c r="O30" s="997"/>
      <c r="P30" s="997"/>
      <c r="Q30" s="997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</row>
    <row r="31" spans="1:41" s="356" customFormat="1" ht="18" hidden="1">
      <c r="A31" s="2153" t="s">
        <v>28</v>
      </c>
      <c r="B31" s="2156" t="s">
        <v>13</v>
      </c>
      <c r="C31" s="2155"/>
      <c r="D31" s="848">
        <f>SUM(D279,D296)</f>
        <v>0</v>
      </c>
      <c r="E31" s="934">
        <f>SUM(E279,E296)</f>
        <v>0</v>
      </c>
      <c r="F31" s="935">
        <f>SUM(F279,F296)</f>
        <v>0</v>
      </c>
      <c r="G31" s="2088">
        <f>SUM(G279,G296)</f>
        <v>0</v>
      </c>
      <c r="H31" s="2087">
        <f t="shared" si="3"/>
        <v>0</v>
      </c>
      <c r="I31" s="2089">
        <f>SUM(I279,I296)</f>
        <v>0</v>
      </c>
      <c r="J31" s="2089">
        <f>SUM(J279,J296)</f>
        <v>0</v>
      </c>
      <c r="K31" s="935" t="e">
        <f>SUM(K279,K296)</f>
        <v>#REF!</v>
      </c>
      <c r="L31" s="996" t="e">
        <f t="shared" si="2"/>
        <v>#DIV/0!</v>
      </c>
      <c r="M31" s="997"/>
      <c r="N31" s="997"/>
      <c r="O31" s="997"/>
      <c r="P31" s="997"/>
      <c r="Q31" s="997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</row>
    <row r="32" spans="1:41" s="356" customFormat="1" ht="18">
      <c r="A32" s="2153">
        <v>5</v>
      </c>
      <c r="B32" s="2156" t="s">
        <v>30</v>
      </c>
      <c r="C32" s="2155"/>
      <c r="D32" s="848">
        <f>D160</f>
        <v>3000</v>
      </c>
      <c r="E32" s="934">
        <f>E160</f>
        <v>3000</v>
      </c>
      <c r="F32" s="935">
        <f>F160</f>
        <v>3000</v>
      </c>
      <c r="G32" s="2088">
        <f>G160</f>
        <v>3000</v>
      </c>
      <c r="H32" s="2087">
        <f t="shared" si="3"/>
        <v>0</v>
      </c>
      <c r="I32" s="2089">
        <f>I160</f>
        <v>0</v>
      </c>
      <c r="J32" s="2089">
        <f>J160</f>
        <v>3000</v>
      </c>
      <c r="K32" s="935" t="e">
        <f>K160</f>
        <v>#REF!</v>
      </c>
      <c r="L32" s="996">
        <f t="shared" si="2"/>
        <v>100</v>
      </c>
      <c r="M32" s="997"/>
      <c r="N32" s="997"/>
      <c r="O32" s="997"/>
      <c r="P32" s="997"/>
      <c r="Q32" s="997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</row>
    <row r="33" spans="1:41" s="356" customFormat="1" ht="18">
      <c r="A33" s="2153">
        <v>6</v>
      </c>
      <c r="B33" s="2156" t="s">
        <v>32</v>
      </c>
      <c r="C33" s="2155"/>
      <c r="D33" s="848">
        <f>SUM(D34:D35)</f>
        <v>110629000</v>
      </c>
      <c r="E33" s="934">
        <f>SUM(E34:E35)</f>
        <v>110089000</v>
      </c>
      <c r="F33" s="935">
        <f>SUM(F34:F35)</f>
        <v>182120000</v>
      </c>
      <c r="G33" s="2088">
        <f>SUM(G34:G35)</f>
        <v>116481000</v>
      </c>
      <c r="H33" s="2087">
        <f t="shared" si="3"/>
        <v>-65639000</v>
      </c>
      <c r="I33" s="2089">
        <f>SUM(I34:I35)</f>
        <v>0</v>
      </c>
      <c r="J33" s="2089">
        <f>SUM(J34:J35)</f>
        <v>116481000</v>
      </c>
      <c r="K33" s="935" t="e">
        <f>SUM(K34:K35)</f>
        <v>#REF!</v>
      </c>
      <c r="L33" s="996">
        <f t="shared" si="2"/>
        <v>105.80621133809917</v>
      </c>
      <c r="M33" s="997"/>
      <c r="N33" s="997"/>
      <c r="O33" s="997"/>
      <c r="P33" s="997"/>
      <c r="Q33" s="997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1588"/>
      <c r="AD33" s="1588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</row>
    <row r="34" spans="1:41" s="356" customFormat="1" ht="18" hidden="1">
      <c r="A34" s="2153" t="s">
        <v>33</v>
      </c>
      <c r="B34" s="2156" t="s">
        <v>12</v>
      </c>
      <c r="C34" s="2155"/>
      <c r="D34" s="848">
        <f>SUM(D123,D161,D179)</f>
        <v>90119000</v>
      </c>
      <c r="E34" s="934">
        <f>SUM(E123,E161,E179)</f>
        <v>89579000</v>
      </c>
      <c r="F34" s="935">
        <f>SUM(F123,F161,F179)</f>
        <v>99120000</v>
      </c>
      <c r="G34" s="2088">
        <f>SUM(G123,G161,G179)</f>
        <v>63481000</v>
      </c>
      <c r="H34" s="2087">
        <f t="shared" si="3"/>
        <v>-35639000</v>
      </c>
      <c r="I34" s="2089">
        <f>SUM(I123,I161,I179)</f>
        <v>0</v>
      </c>
      <c r="J34" s="2089">
        <f>SUM(J123,J161,J179)</f>
        <v>63481000</v>
      </c>
      <c r="K34" s="935" t="e">
        <f>SUM(K123,K161,K179)</f>
        <v>#REF!</v>
      </c>
      <c r="L34" s="996">
        <f t="shared" si="2"/>
        <v>70.865939561727643</v>
      </c>
      <c r="M34" s="998">
        <f>E34-57936</f>
        <v>89521064</v>
      </c>
      <c r="N34" s="997"/>
      <c r="O34" s="997"/>
      <c r="P34" s="997"/>
      <c r="Q34" s="997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</row>
    <row r="35" spans="1:41" s="356" customFormat="1" ht="18" hidden="1">
      <c r="A35" s="2153" t="s">
        <v>34</v>
      </c>
      <c r="B35" s="2156" t="s">
        <v>13</v>
      </c>
      <c r="C35" s="2155"/>
      <c r="D35" s="848">
        <f>SUM(D281,D299)</f>
        <v>20510000</v>
      </c>
      <c r="E35" s="934">
        <f>SUM(E281,E299)</f>
        <v>20510000</v>
      </c>
      <c r="F35" s="935">
        <f>SUM(F281,F299)</f>
        <v>83000000</v>
      </c>
      <c r="G35" s="2088">
        <f>SUM(G281,G299)</f>
        <v>53000000</v>
      </c>
      <c r="H35" s="2087">
        <f t="shared" si="3"/>
        <v>-30000000</v>
      </c>
      <c r="I35" s="2089">
        <f>SUM(I281,I299)</f>
        <v>0</v>
      </c>
      <c r="J35" s="2089">
        <f>SUM(J281,J299)</f>
        <v>53000000</v>
      </c>
      <c r="K35" s="935" t="e">
        <f>SUM(K281,K299)</f>
        <v>#REF!</v>
      </c>
      <c r="L35" s="996">
        <f t="shared" si="2"/>
        <v>258.4105314480741</v>
      </c>
      <c r="M35" s="998">
        <f>E35-42064</f>
        <v>20467936</v>
      </c>
      <c r="N35" s="997"/>
      <c r="O35" s="997"/>
      <c r="P35" s="997"/>
      <c r="Q35" s="997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</row>
    <row r="36" spans="1:41" s="356" customFormat="1" ht="18">
      <c r="A36" s="2153">
        <v>7</v>
      </c>
      <c r="B36" s="2156" t="s">
        <v>36</v>
      </c>
      <c r="C36" s="2155"/>
      <c r="D36" s="848">
        <f>SUM(D37)</f>
        <v>3000000</v>
      </c>
      <c r="E36" s="934">
        <f>SUM(E37)</f>
        <v>2000000</v>
      </c>
      <c r="F36" s="935">
        <f>SUM(F37)</f>
        <v>3000000</v>
      </c>
      <c r="G36" s="2088">
        <f>SUM(G37)</f>
        <v>2500000</v>
      </c>
      <c r="H36" s="2087">
        <f t="shared" si="3"/>
        <v>-500000</v>
      </c>
      <c r="I36" s="2089">
        <f>SUM(I37)</f>
        <v>0</v>
      </c>
      <c r="J36" s="2089">
        <f>SUM(J37)</f>
        <v>2500000</v>
      </c>
      <c r="K36" s="935" t="e">
        <f>SUM(K37)</f>
        <v>#REF!</v>
      </c>
      <c r="L36" s="996">
        <f t="shared" si="2"/>
        <v>125</v>
      </c>
      <c r="M36" s="997"/>
      <c r="N36" s="997"/>
      <c r="O36" s="997"/>
      <c r="P36" s="997"/>
      <c r="Q36" s="997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</row>
    <row r="37" spans="1:41" s="356" customFormat="1" ht="18" hidden="1">
      <c r="A37" s="2153" t="s">
        <v>339</v>
      </c>
      <c r="B37" s="2156" t="s">
        <v>12</v>
      </c>
      <c r="C37" s="2155"/>
      <c r="D37" s="848">
        <f>D155</f>
        <v>3000000</v>
      </c>
      <c r="E37" s="934">
        <f>E155</f>
        <v>2000000</v>
      </c>
      <c r="F37" s="935">
        <f>F155</f>
        <v>3000000</v>
      </c>
      <c r="G37" s="2088">
        <f>G155</f>
        <v>2500000</v>
      </c>
      <c r="H37" s="2087">
        <f t="shared" si="3"/>
        <v>-500000</v>
      </c>
      <c r="I37" s="2089">
        <f>I155</f>
        <v>0</v>
      </c>
      <c r="J37" s="2089">
        <f>J155</f>
        <v>2500000</v>
      </c>
      <c r="K37" s="935" t="e">
        <f>K155</f>
        <v>#REF!</v>
      </c>
      <c r="L37" s="996">
        <f t="shared" si="2"/>
        <v>125</v>
      </c>
      <c r="M37" s="997"/>
      <c r="N37" s="997"/>
      <c r="O37" s="997"/>
      <c r="P37" s="997"/>
      <c r="Q37" s="997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</row>
    <row r="38" spans="1:41" s="356" customFormat="1" ht="18">
      <c r="A38" s="2153">
        <v>8</v>
      </c>
      <c r="B38" s="2157" t="s">
        <v>542</v>
      </c>
      <c r="C38" s="2155"/>
      <c r="D38" s="848">
        <f>SUM(D39:D40)</f>
        <v>7000000</v>
      </c>
      <c r="E38" s="934">
        <f>SUM(E39:E40)</f>
        <v>7000000</v>
      </c>
      <c r="F38" s="934">
        <f>SUM(F39:F40)</f>
        <v>14000000</v>
      </c>
      <c r="G38" s="2086">
        <f>SUM(G39:G40)</f>
        <v>10000000</v>
      </c>
      <c r="H38" s="2087">
        <f t="shared" si="3"/>
        <v>-4000000</v>
      </c>
      <c r="I38" s="2087">
        <f>SUM(I39:I40)</f>
        <v>0</v>
      </c>
      <c r="J38" s="2087">
        <f>SUM(J39:J40)</f>
        <v>10000000</v>
      </c>
      <c r="K38" s="934" t="e">
        <f>SUM(K39:K40)</f>
        <v>#REF!</v>
      </c>
      <c r="L38" s="996">
        <f t="shared" si="2"/>
        <v>142.85714285714286</v>
      </c>
      <c r="M38" s="997"/>
      <c r="N38" s="997"/>
      <c r="O38" s="997"/>
      <c r="P38" s="997"/>
      <c r="Q38" s="997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</row>
    <row r="39" spans="1:41" s="356" customFormat="1" ht="18" hidden="1">
      <c r="A39" s="2153" t="s">
        <v>40</v>
      </c>
      <c r="B39" s="2156" t="s">
        <v>12</v>
      </c>
      <c r="C39" s="2155"/>
      <c r="D39" s="848">
        <f>D156</f>
        <v>5000000</v>
      </c>
      <c r="E39" s="934">
        <f>E156</f>
        <v>5000000</v>
      </c>
      <c r="F39" s="935">
        <f>F156</f>
        <v>9000000</v>
      </c>
      <c r="G39" s="2088">
        <f>G156</f>
        <v>6500000</v>
      </c>
      <c r="H39" s="2087">
        <f t="shared" si="3"/>
        <v>-2500000</v>
      </c>
      <c r="I39" s="2089" t="str">
        <f>I156</f>
        <v/>
      </c>
      <c r="J39" s="2089">
        <f>J156</f>
        <v>6500000</v>
      </c>
      <c r="K39" s="935" t="e">
        <f>K156</f>
        <v>#REF!</v>
      </c>
      <c r="L39" s="996">
        <f t="shared" si="2"/>
        <v>130</v>
      </c>
      <c r="M39" s="997"/>
      <c r="N39" s="997"/>
      <c r="O39" s="997"/>
      <c r="P39" s="997"/>
      <c r="Q39" s="997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</row>
    <row r="40" spans="1:41" s="356" customFormat="1" ht="18" hidden="1">
      <c r="A40" s="2153" t="s">
        <v>41</v>
      </c>
      <c r="B40" s="2156" t="s">
        <v>13</v>
      </c>
      <c r="C40" s="2155"/>
      <c r="D40" s="848">
        <f>D297</f>
        <v>2000000</v>
      </c>
      <c r="E40" s="934">
        <f>E297</f>
        <v>2000000</v>
      </c>
      <c r="F40" s="935">
        <f>F297</f>
        <v>5000000</v>
      </c>
      <c r="G40" s="2088">
        <f>G297</f>
        <v>3500000</v>
      </c>
      <c r="H40" s="2087">
        <f t="shared" si="3"/>
        <v>-1500000</v>
      </c>
      <c r="I40" s="2089" t="str">
        <f>I297</f>
        <v/>
      </c>
      <c r="J40" s="2089">
        <f>J297</f>
        <v>3500000</v>
      </c>
      <c r="K40" s="935" t="e">
        <f>K297</f>
        <v>#REF!</v>
      </c>
      <c r="L40" s="996">
        <f t="shared" si="2"/>
        <v>175</v>
      </c>
      <c r="M40" s="997"/>
      <c r="N40" s="997"/>
      <c r="O40" s="997"/>
      <c r="P40" s="997"/>
      <c r="Q40" s="997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</row>
    <row r="41" spans="1:41" s="356" customFormat="1" ht="18">
      <c r="A41" s="2153">
        <v>9</v>
      </c>
      <c r="B41" s="2156" t="s">
        <v>43</v>
      </c>
      <c r="C41" s="2155"/>
      <c r="D41" s="848">
        <f>SUM(D149)</f>
        <v>94610000</v>
      </c>
      <c r="E41" s="934">
        <f>SUM(E149)</f>
        <v>94610000</v>
      </c>
      <c r="F41" s="935">
        <f>SUM(F149)</f>
        <v>105837000</v>
      </c>
      <c r="G41" s="2088">
        <f>SUM(G149)</f>
        <v>97600000</v>
      </c>
      <c r="H41" s="2087">
        <f t="shared" si="3"/>
        <v>-8237000</v>
      </c>
      <c r="I41" s="2089">
        <f>SUM(I149)</f>
        <v>0</v>
      </c>
      <c r="J41" s="2089">
        <f>SUM(J149)</f>
        <v>97600000</v>
      </c>
      <c r="K41" s="935" t="e">
        <f>SUM(K149)</f>
        <v>#REF!</v>
      </c>
      <c r="L41" s="996">
        <f t="shared" si="2"/>
        <v>103.1603424585139</v>
      </c>
      <c r="M41" s="997"/>
      <c r="N41" s="997"/>
      <c r="O41" s="997"/>
      <c r="P41" s="997"/>
      <c r="Q41" s="997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</row>
    <row r="42" spans="1:41" s="356" customFormat="1" ht="18">
      <c r="A42" s="2153">
        <v>10</v>
      </c>
      <c r="B42" s="2156" t="s">
        <v>45</v>
      </c>
      <c r="C42" s="2155"/>
      <c r="D42" s="848">
        <f>SUM(D43:D44)</f>
        <v>174401000</v>
      </c>
      <c r="E42" s="934">
        <f>SUM(E43:E44)</f>
        <v>173145000</v>
      </c>
      <c r="F42" s="935">
        <f>SUM(F43:F44)</f>
        <v>275000000</v>
      </c>
      <c r="G42" s="2088">
        <f>SUM(G43:G44)</f>
        <v>210000000</v>
      </c>
      <c r="H42" s="2087">
        <f t="shared" si="3"/>
        <v>-65000000</v>
      </c>
      <c r="I42" s="2089">
        <f>SUM(I43:I44)</f>
        <v>0</v>
      </c>
      <c r="J42" s="2089">
        <f>SUM(J43:J44)</f>
        <v>210000000</v>
      </c>
      <c r="K42" s="935" t="e">
        <f>SUM(K43:K44)</f>
        <v>#REF!</v>
      </c>
      <c r="L42" s="996">
        <f t="shared" si="2"/>
        <v>121.2856276531231</v>
      </c>
      <c r="M42" s="997"/>
      <c r="N42" s="997"/>
      <c r="O42" s="997"/>
      <c r="P42" s="997"/>
      <c r="Q42" s="997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</row>
    <row r="43" spans="1:41" s="356" customFormat="1" ht="18" hidden="1">
      <c r="A43" s="2153" t="s">
        <v>46</v>
      </c>
      <c r="B43" s="2156" t="s">
        <v>12</v>
      </c>
      <c r="C43" s="2155"/>
      <c r="D43" s="848">
        <f>D122+D159</f>
        <v>172095000</v>
      </c>
      <c r="E43" s="934">
        <f>E122+E159</f>
        <v>171745000</v>
      </c>
      <c r="F43" s="935">
        <f>F122+F159</f>
        <v>272000000</v>
      </c>
      <c r="G43" s="2088">
        <f>G122+G159</f>
        <v>207700000</v>
      </c>
      <c r="H43" s="2087">
        <f t="shared" si="3"/>
        <v>-64300000</v>
      </c>
      <c r="I43" s="2089">
        <f>I122+I159</f>
        <v>0</v>
      </c>
      <c r="J43" s="2089">
        <f>J122+J159</f>
        <v>207700000</v>
      </c>
      <c r="K43" s="935" t="e">
        <f>K122+K159</f>
        <v>#REF!</v>
      </c>
      <c r="L43" s="996">
        <f t="shared" si="2"/>
        <v>120.93510728114356</v>
      </c>
      <c r="M43" s="997"/>
      <c r="N43" s="998"/>
      <c r="O43" s="997"/>
      <c r="P43" s="997"/>
      <c r="Q43" s="997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</row>
    <row r="44" spans="1:41" s="356" customFormat="1" ht="18" hidden="1">
      <c r="A44" s="2153" t="s">
        <v>47</v>
      </c>
      <c r="B44" s="2156" t="s">
        <v>13</v>
      </c>
      <c r="C44" s="2155"/>
      <c r="D44" s="848">
        <f>D298+D280</f>
        <v>2306000</v>
      </c>
      <c r="E44" s="934">
        <f>E298+E280</f>
        <v>1400000</v>
      </c>
      <c r="F44" s="935">
        <f>F298+F280</f>
        <v>3000000</v>
      </c>
      <c r="G44" s="2088">
        <f>G298+G280</f>
        <v>2300000</v>
      </c>
      <c r="H44" s="2087">
        <f t="shared" si="3"/>
        <v>-700000</v>
      </c>
      <c r="I44" s="2089">
        <f>I298+I280</f>
        <v>0</v>
      </c>
      <c r="J44" s="2089">
        <f>J298+J280</f>
        <v>2300000</v>
      </c>
      <c r="K44" s="935" t="e">
        <f>K298+K280</f>
        <v>#REF!</v>
      </c>
      <c r="L44" s="996">
        <f t="shared" si="2"/>
        <v>164.28571428571428</v>
      </c>
      <c r="M44" s="997"/>
      <c r="N44" s="997"/>
      <c r="O44" s="997"/>
      <c r="P44" s="997"/>
      <c r="Q44" s="997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</row>
    <row r="45" spans="1:41" s="356" customFormat="1" ht="18">
      <c r="A45" s="2153">
        <v>11</v>
      </c>
      <c r="B45" s="2156" t="s">
        <v>49</v>
      </c>
      <c r="C45" s="2155"/>
      <c r="D45" s="848">
        <f>D311</f>
        <v>915783000</v>
      </c>
      <c r="E45" s="934">
        <f>E311</f>
        <v>915783000</v>
      </c>
      <c r="F45" s="935">
        <f>F311</f>
        <v>922378500</v>
      </c>
      <c r="G45" s="2088">
        <f>G311</f>
        <v>922379000</v>
      </c>
      <c r="H45" s="2087">
        <f t="shared" si="3"/>
        <v>500</v>
      </c>
      <c r="I45" s="2089">
        <f>I311</f>
        <v>0</v>
      </c>
      <c r="J45" s="2089">
        <f>J311</f>
        <v>922379000</v>
      </c>
      <c r="K45" s="935" t="e">
        <f>K311</f>
        <v>#REF!</v>
      </c>
      <c r="L45" s="996">
        <f t="shared" si="2"/>
        <v>100.72025796504194</v>
      </c>
      <c r="M45" s="997"/>
      <c r="N45" s="997"/>
      <c r="O45" s="997"/>
      <c r="P45" s="997"/>
      <c r="Q45" s="997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</row>
    <row r="46" spans="1:41" s="356" customFormat="1" ht="18">
      <c r="A46" s="2153">
        <v>12</v>
      </c>
      <c r="B46" s="2156" t="s">
        <v>51</v>
      </c>
      <c r="C46" s="2155"/>
      <c r="D46" s="848">
        <f>SUM(D47:D51,D56,D53)</f>
        <v>305662000</v>
      </c>
      <c r="E46" s="934">
        <f>SUM(E47:E51,E56,E53)</f>
        <v>305647000</v>
      </c>
      <c r="F46" s="935">
        <f>SUM(F47:F51,F56,F53)</f>
        <v>301302726</v>
      </c>
      <c r="G46" s="2088">
        <f>SUM(G47:G51,G56,G53)</f>
        <v>335682000</v>
      </c>
      <c r="H46" s="2087">
        <f t="shared" si="3"/>
        <v>34379274</v>
      </c>
      <c r="I46" s="2089">
        <f>SUM(I47:I51,I56,I53)</f>
        <v>0</v>
      </c>
      <c r="J46" s="2089">
        <f>SUM(J47:J51,J56,J53)</f>
        <v>335682000</v>
      </c>
      <c r="K46" s="935" t="e">
        <f>SUM(K47:K51,K56,K53)</f>
        <v>#REF!</v>
      </c>
      <c r="L46" s="996">
        <f t="shared" si="2"/>
        <v>109.8266955016735</v>
      </c>
      <c r="M46" s="997"/>
      <c r="N46" s="997"/>
      <c r="O46" s="997"/>
      <c r="P46" s="997"/>
      <c r="Q46" s="997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</row>
    <row r="47" spans="1:41" s="356" customFormat="1" ht="18">
      <c r="A47" s="2153" t="s">
        <v>1127</v>
      </c>
      <c r="B47" s="816" t="s">
        <v>340</v>
      </c>
      <c r="C47" s="2155"/>
      <c r="D47" s="848">
        <f>SUM(D222)</f>
        <v>52282000</v>
      </c>
      <c r="E47" s="934">
        <f>'Pl 2016-20 PFC'!D225</f>
        <v>52282000</v>
      </c>
      <c r="F47" s="934">
        <f>'Pl 2016-20 PFC'!E225</f>
        <v>52282000</v>
      </c>
      <c r="G47" s="2086">
        <f>'Pl 2016-20 PFC'!G225+'Pl 2016-20 PFC'!G205</f>
        <v>57798000</v>
      </c>
      <c r="H47" s="2087" t="e">
        <f>'Pl 2016-20 PFC'!#REF!</f>
        <v>#REF!</v>
      </c>
      <c r="I47" s="2087">
        <f>'Pl 2016-20 PFC'!H225+'Pl 2016-20 PFC'!H205</f>
        <v>0</v>
      </c>
      <c r="J47" s="2087">
        <f>'Pl 2016-20 PFC'!I225+'Pl 2016-20 PFC'!I205</f>
        <v>57798000</v>
      </c>
      <c r="K47" s="934" t="e">
        <f>'Pl 2016-20 PFC'!#REF!</f>
        <v>#REF!</v>
      </c>
      <c r="L47" s="996">
        <f t="shared" si="2"/>
        <v>110.55047626334111</v>
      </c>
      <c r="M47" s="997"/>
      <c r="N47" s="997"/>
      <c r="O47" s="997"/>
      <c r="P47" s="997"/>
      <c r="Q47" s="997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</row>
    <row r="48" spans="1:41" s="356" customFormat="1" ht="18">
      <c r="A48" s="2153" t="s">
        <v>1128</v>
      </c>
      <c r="B48" s="2156" t="s">
        <v>59</v>
      </c>
      <c r="C48" s="2155"/>
      <c r="D48" s="848">
        <f>SUM(D228)</f>
        <v>1200000</v>
      </c>
      <c r="E48" s="934">
        <f>SUM(E228)</f>
        <v>1200000</v>
      </c>
      <c r="F48" s="935">
        <f>SUM(F228)</f>
        <v>1220000</v>
      </c>
      <c r="G48" s="2088">
        <f>SUM(G228)</f>
        <v>1200000</v>
      </c>
      <c r="H48" s="2087">
        <f t="shared" si="3"/>
        <v>-20000</v>
      </c>
      <c r="I48" s="2089">
        <f>SUM(I228)</f>
        <v>0</v>
      </c>
      <c r="J48" s="2089">
        <f>SUM(J228)</f>
        <v>1200000</v>
      </c>
      <c r="K48" s="935" t="e">
        <f>SUM(K228)</f>
        <v>#REF!</v>
      </c>
      <c r="L48" s="996">
        <f t="shared" si="2"/>
        <v>100</v>
      </c>
      <c r="M48" s="997"/>
      <c r="N48" s="997"/>
      <c r="O48" s="997"/>
      <c r="P48" s="997"/>
      <c r="Q48" s="997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</row>
    <row r="49" spans="1:41" s="356" customFormat="1" ht="18">
      <c r="A49" s="2153" t="s">
        <v>1129</v>
      </c>
      <c r="B49" s="2156" t="s">
        <v>55</v>
      </c>
      <c r="C49" s="2155"/>
      <c r="D49" s="848">
        <f>SUM(D224)</f>
        <v>9392000</v>
      </c>
      <c r="E49" s="934">
        <f>'Pl 2016-20 PFC'!E230</f>
        <v>9392000</v>
      </c>
      <c r="F49" s="934">
        <f>'Pl 2016-20 PFC'!F230</f>
        <v>11866000</v>
      </c>
      <c r="G49" s="2087">
        <f>'Pl 2016-20 PFC'!G230+'Pl 2016-20 PFC'!G206</f>
        <v>11141000</v>
      </c>
      <c r="H49" s="2087">
        <f>'Pl 2016-20 PFC'!G230+'Pl 2016-20 PFC'!G206</f>
        <v>11141000</v>
      </c>
      <c r="I49" s="2087">
        <f>'Pl 2016-20 PFC'!H230+'Pl 2016-20 PFC'!H206</f>
        <v>0</v>
      </c>
      <c r="J49" s="2087">
        <f>'Pl 2016-20 PFC'!I230+'Pl 2016-20 PFC'!I206</f>
        <v>11141000</v>
      </c>
      <c r="K49" s="934" t="e">
        <f>'Pl 2016-20 PFC'!#REF!</f>
        <v>#REF!</v>
      </c>
      <c r="L49" s="996">
        <f t="shared" si="2"/>
        <v>118.62223168654174</v>
      </c>
      <c r="M49" s="997"/>
      <c r="N49" s="997"/>
      <c r="O49" s="997"/>
      <c r="P49" s="997"/>
      <c r="Q49" s="997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</row>
    <row r="50" spans="1:41" s="356" customFormat="1" ht="18">
      <c r="A50" s="2153" t="s">
        <v>1130</v>
      </c>
      <c r="B50" s="2156" t="s">
        <v>57</v>
      </c>
      <c r="C50" s="2155"/>
      <c r="D50" s="848">
        <f>SUM(D226)</f>
        <v>1311000</v>
      </c>
      <c r="E50" s="934">
        <f>'Pl 2016-20 PFC'!E233</f>
        <v>1311000</v>
      </c>
      <c r="F50" s="935">
        <f>SUM(F226)</f>
        <v>1660000</v>
      </c>
      <c r="G50" s="2088">
        <f>'Pl 2016-20 PFC'!G233+'Pl 2016-20 PFC'!G207</f>
        <v>1551000</v>
      </c>
      <c r="H50" s="2089" t="e">
        <f>'Pl 2016-20 PFC'!#REF!</f>
        <v>#REF!</v>
      </c>
      <c r="I50" s="2089">
        <f>'Pl 2016-20 PFC'!H233+'Pl 2016-20 PFC'!H207</f>
        <v>0</v>
      </c>
      <c r="J50" s="2089">
        <f>'Pl 2016-20 PFC'!I233+'Pl 2016-20 PFC'!I207</f>
        <v>1551000</v>
      </c>
      <c r="K50" s="935" t="e">
        <f>'Pl 2016-20 PFC'!#REF!</f>
        <v>#REF!</v>
      </c>
      <c r="L50" s="996">
        <f t="shared" si="2"/>
        <v>118.30663615560641</v>
      </c>
      <c r="M50" s="997"/>
      <c r="N50" s="997"/>
      <c r="O50" s="997"/>
      <c r="P50" s="997"/>
      <c r="Q50" s="997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</row>
    <row r="51" spans="1:41" s="356" customFormat="1" ht="18">
      <c r="A51" s="2153" t="s">
        <v>1131</v>
      </c>
      <c r="B51" s="816" t="s">
        <v>667</v>
      </c>
      <c r="C51" s="2155"/>
      <c r="D51" s="848">
        <f>D231</f>
        <v>16604000</v>
      </c>
      <c r="E51" s="934">
        <f>E231</f>
        <v>17554000</v>
      </c>
      <c r="F51" s="935">
        <f>F231</f>
        <v>17687000</v>
      </c>
      <c r="G51" s="2088">
        <f>'Pl 2016-20 PFC'!G53</f>
        <v>47404000</v>
      </c>
      <c r="H51" s="2087">
        <f t="shared" si="3"/>
        <v>29717000</v>
      </c>
      <c r="I51" s="2089">
        <f>'Pl 2016-20 PFC'!H53</f>
        <v>0</v>
      </c>
      <c r="J51" s="2089">
        <f>'Pl 2016-20 PFC'!I53</f>
        <v>47404000</v>
      </c>
      <c r="K51" s="935" t="e">
        <f>K231</f>
        <v>#REF!</v>
      </c>
      <c r="L51" s="996">
        <f t="shared" si="2"/>
        <v>270.04671299988604</v>
      </c>
      <c r="M51" s="997"/>
      <c r="N51" s="997"/>
      <c r="O51" s="997"/>
      <c r="P51" s="997"/>
      <c r="Q51" s="997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</row>
    <row r="52" spans="1:41" s="356" customFormat="1" ht="18" hidden="1">
      <c r="A52" s="2153" t="s">
        <v>62</v>
      </c>
      <c r="B52" s="816" t="s">
        <v>341</v>
      </c>
      <c r="C52" s="2155"/>
      <c r="D52" s="848">
        <f>D239</f>
        <v>1616000</v>
      </c>
      <c r="E52" s="934">
        <f>E239</f>
        <v>1596000</v>
      </c>
      <c r="F52" s="935">
        <f>F239</f>
        <v>1619000</v>
      </c>
      <c r="G52" s="2088">
        <f>G239</f>
        <v>1619000</v>
      </c>
      <c r="H52" s="2087">
        <f t="shared" si="3"/>
        <v>0</v>
      </c>
      <c r="I52" s="2089" t="str">
        <f>I239</f>
        <v>0</v>
      </c>
      <c r="J52" s="2089">
        <f>J239</f>
        <v>1619000</v>
      </c>
      <c r="K52" s="935" t="e">
        <f>K239</f>
        <v>#REF!</v>
      </c>
      <c r="L52" s="996">
        <f t="shared" si="2"/>
        <v>101.44110275689223</v>
      </c>
      <c r="M52" s="997"/>
      <c r="N52" s="997"/>
      <c r="O52" s="997"/>
      <c r="P52" s="997"/>
      <c r="Q52" s="997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</row>
    <row r="53" spans="1:41" s="356" customFormat="1" ht="18">
      <c r="A53" s="2153" t="s">
        <v>1132</v>
      </c>
      <c r="B53" s="816" t="s">
        <v>342</v>
      </c>
      <c r="C53" s="2155"/>
      <c r="D53" s="848">
        <f>SUM(D233)</f>
        <v>29873000</v>
      </c>
      <c r="E53" s="934">
        <f>SUM(E233)</f>
        <v>28908000</v>
      </c>
      <c r="F53" s="935">
        <f>SUM(F233)</f>
        <v>36588726</v>
      </c>
      <c r="G53" s="2088">
        <f>SUM(G233)</f>
        <v>36589000</v>
      </c>
      <c r="H53" s="2087">
        <f t="shared" si="3"/>
        <v>274</v>
      </c>
      <c r="I53" s="2089">
        <f>SUM(I233)</f>
        <v>0</v>
      </c>
      <c r="J53" s="2089">
        <f>SUM(J233)</f>
        <v>36589000</v>
      </c>
      <c r="K53" s="935" t="e">
        <f>SUM(K233)</f>
        <v>#REF!</v>
      </c>
      <c r="L53" s="996">
        <f t="shared" si="2"/>
        <v>126.570499515705</v>
      </c>
      <c r="M53" s="997"/>
      <c r="N53" s="997"/>
      <c r="O53" s="997"/>
      <c r="P53" s="997"/>
      <c r="Q53" s="997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</row>
    <row r="54" spans="1:41" s="356" customFormat="1" ht="18">
      <c r="A54" s="2153" t="s">
        <v>1133</v>
      </c>
      <c r="B54" s="816" t="s">
        <v>344</v>
      </c>
      <c r="C54" s="2155"/>
      <c r="D54" s="848">
        <f>SUM(D264)</f>
        <v>20990000</v>
      </c>
      <c r="E54" s="934">
        <f>SUM(E264)</f>
        <v>20025000</v>
      </c>
      <c r="F54" s="935">
        <f>SUM(F264)</f>
        <v>25442000</v>
      </c>
      <c r="G54" s="2088">
        <f>SUM(G264)</f>
        <v>25442000</v>
      </c>
      <c r="H54" s="2087">
        <f t="shared" si="3"/>
        <v>0</v>
      </c>
      <c r="I54" s="2089">
        <f>SUM(I264)</f>
        <v>0</v>
      </c>
      <c r="J54" s="2089">
        <f>SUM(J264)</f>
        <v>25442000</v>
      </c>
      <c r="K54" s="935" t="e">
        <f>SUM(K264)</f>
        <v>#REF!</v>
      </c>
      <c r="L54" s="996">
        <f t="shared" si="2"/>
        <v>127.05118601747816</v>
      </c>
      <c r="M54" s="997"/>
      <c r="N54" s="997"/>
      <c r="O54" s="997"/>
      <c r="P54" s="997"/>
      <c r="Q54" s="997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</row>
    <row r="55" spans="1:41" s="356" customFormat="1" ht="18">
      <c r="A55" s="2153" t="s">
        <v>1134</v>
      </c>
      <c r="B55" s="816" t="s">
        <v>346</v>
      </c>
      <c r="C55" s="2155"/>
      <c r="D55" s="848">
        <f>D266</f>
        <v>8883000</v>
      </c>
      <c r="E55" s="934">
        <f>E266</f>
        <v>8883000</v>
      </c>
      <c r="F55" s="935">
        <f>F266</f>
        <v>11146726</v>
      </c>
      <c r="G55" s="2088">
        <f>G266</f>
        <v>11147000</v>
      </c>
      <c r="H55" s="2087">
        <f t="shared" si="3"/>
        <v>274</v>
      </c>
      <c r="I55" s="2089">
        <f>I266</f>
        <v>0</v>
      </c>
      <c r="J55" s="2089">
        <f>J266</f>
        <v>11147000</v>
      </c>
      <c r="K55" s="935" t="e">
        <f>K266</f>
        <v>#REF!</v>
      </c>
      <c r="L55" s="996">
        <f t="shared" si="2"/>
        <v>125.48688506135315</v>
      </c>
      <c r="M55" s="997"/>
      <c r="N55" s="998"/>
      <c r="O55" s="997"/>
      <c r="P55" s="997"/>
      <c r="Q55" s="997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</row>
    <row r="56" spans="1:41" s="356" customFormat="1" ht="18">
      <c r="A56" s="2153" t="s">
        <v>1135</v>
      </c>
      <c r="B56" s="2158" t="s">
        <v>647</v>
      </c>
      <c r="C56" s="2155"/>
      <c r="D56" s="848">
        <f>SUM(D267)</f>
        <v>195000000</v>
      </c>
      <c r="E56" s="934">
        <f>SUM(E267)</f>
        <v>195000000</v>
      </c>
      <c r="F56" s="934">
        <f>SUM(F267)</f>
        <v>179999000</v>
      </c>
      <c r="G56" s="2086">
        <f>SUM(G267)</f>
        <v>179999000</v>
      </c>
      <c r="H56" s="2087">
        <f t="shared" si="3"/>
        <v>0</v>
      </c>
      <c r="I56" s="2087">
        <f>SUM(I267)</f>
        <v>0</v>
      </c>
      <c r="J56" s="2087">
        <f>SUM(J267)</f>
        <v>179999000</v>
      </c>
      <c r="K56" s="934" t="e">
        <f>SUM(K267)</f>
        <v>#REF!</v>
      </c>
      <c r="L56" s="996">
        <f t="shared" si="2"/>
        <v>92.307179487179482</v>
      </c>
      <c r="M56" s="997"/>
      <c r="N56" s="997"/>
      <c r="O56" s="997"/>
      <c r="P56" s="997"/>
      <c r="Q56" s="997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</row>
    <row r="57" spans="1:41" s="356" customFormat="1" ht="18">
      <c r="A57" s="2153">
        <v>13</v>
      </c>
      <c r="B57" s="2156" t="s">
        <v>69</v>
      </c>
      <c r="C57" s="2155"/>
      <c r="D57" s="848">
        <f>SUM(D192)</f>
        <v>3716000</v>
      </c>
      <c r="E57" s="934">
        <f>SUM(E192)</f>
        <v>3716000</v>
      </c>
      <c r="F57" s="935">
        <f>SUM(F192)</f>
        <v>3782000</v>
      </c>
      <c r="G57" s="2088">
        <f>SUM(G192)</f>
        <v>3782000</v>
      </c>
      <c r="H57" s="2087">
        <f t="shared" si="3"/>
        <v>0</v>
      </c>
      <c r="I57" s="2089">
        <f>SUM(I192)</f>
        <v>0</v>
      </c>
      <c r="J57" s="2089">
        <f>SUM(J192)</f>
        <v>3782000</v>
      </c>
      <c r="K57" s="935" t="e">
        <f>SUM(K192)</f>
        <v>#REF!</v>
      </c>
      <c r="L57" s="996">
        <f t="shared" si="2"/>
        <v>101.77610333692142</v>
      </c>
      <c r="M57" s="997"/>
      <c r="N57" s="997"/>
      <c r="O57" s="997"/>
      <c r="P57" s="997"/>
      <c r="Q57" s="997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</row>
    <row r="58" spans="1:41" s="356" customFormat="1" ht="18">
      <c r="A58" s="2153">
        <v>14</v>
      </c>
      <c r="B58" s="2156" t="s">
        <v>71</v>
      </c>
      <c r="C58" s="2155"/>
      <c r="D58" s="848">
        <f>SUM(D272:D273)</f>
        <v>62633000</v>
      </c>
      <c r="E58" s="934">
        <f>SUM(E272:E273)</f>
        <v>29870000</v>
      </c>
      <c r="F58" s="935">
        <f>SUM(F272:F273)</f>
        <v>45900000</v>
      </c>
      <c r="G58" s="2088">
        <f>SUM(G272:G273)</f>
        <v>45489000</v>
      </c>
      <c r="H58" s="2087">
        <f t="shared" si="3"/>
        <v>-411000</v>
      </c>
      <c r="I58" s="2089">
        <f>SUM(I272:I273)</f>
        <v>0</v>
      </c>
      <c r="J58" s="2089">
        <f>SUM(J272:J273)</f>
        <v>45489000</v>
      </c>
      <c r="K58" s="935" t="e">
        <f>SUM(K272:K273)</f>
        <v>#REF!</v>
      </c>
      <c r="L58" s="996">
        <f t="shared" si="2"/>
        <v>152.28992299966521</v>
      </c>
      <c r="M58" s="997"/>
      <c r="N58" s="997"/>
      <c r="O58" s="997"/>
      <c r="P58" s="997"/>
      <c r="Q58" s="997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</row>
    <row r="59" spans="1:41" s="356" customFormat="1" ht="18">
      <c r="A59" s="2153">
        <v>15</v>
      </c>
      <c r="B59" s="2156" t="s">
        <v>73</v>
      </c>
      <c r="C59" s="2155"/>
      <c r="D59" s="848">
        <f>SUM(D321)</f>
        <v>4140000</v>
      </c>
      <c r="E59" s="934">
        <f>SUM(E321)</f>
        <v>4118000</v>
      </c>
      <c r="F59" s="935">
        <f>SUM(F321)</f>
        <v>1650000</v>
      </c>
      <c r="G59" s="2088">
        <f>SUM(G321)</f>
        <v>1650000</v>
      </c>
      <c r="H59" s="2087">
        <f t="shared" si="3"/>
        <v>0</v>
      </c>
      <c r="I59" s="2089">
        <f>SUM(I321)</f>
        <v>0</v>
      </c>
      <c r="J59" s="2089">
        <f>SUM(J321)</f>
        <v>1650000</v>
      </c>
      <c r="K59" s="935" t="e">
        <f>SUM(K321)</f>
        <v>#REF!</v>
      </c>
      <c r="L59" s="996">
        <f t="shared" si="2"/>
        <v>40.06799417192812</v>
      </c>
      <c r="M59" s="997"/>
      <c r="N59" s="997"/>
      <c r="O59" s="997"/>
      <c r="P59" s="997"/>
      <c r="Q59" s="997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</row>
    <row r="60" spans="1:41" s="850" customFormat="1" ht="36">
      <c r="A60" s="2153">
        <v>16</v>
      </c>
      <c r="B60" s="2154" t="s">
        <v>646</v>
      </c>
      <c r="C60" s="2155"/>
      <c r="D60" s="848">
        <f>SUM(D61:D63)</f>
        <v>1750000</v>
      </c>
      <c r="E60" s="934">
        <f>SUM(E61:E63)</f>
        <v>1650000</v>
      </c>
      <c r="F60" s="934">
        <f>SUM(F61:F63)</f>
        <v>2500000</v>
      </c>
      <c r="G60" s="2086">
        <f>SUM(G61:G63)</f>
        <v>2500000</v>
      </c>
      <c r="H60" s="2087">
        <f t="shared" si="3"/>
        <v>0</v>
      </c>
      <c r="I60" s="2087">
        <f>SUM(I61:I63)</f>
        <v>0</v>
      </c>
      <c r="J60" s="2087">
        <f>SUM(J61:J63)</f>
        <v>2500000</v>
      </c>
      <c r="K60" s="934" t="e">
        <f>SUM(K61:K63)</f>
        <v>#REF!</v>
      </c>
      <c r="L60" s="996">
        <f t="shared" si="2"/>
        <v>151.5151515151515</v>
      </c>
      <c r="M60" s="999"/>
      <c r="N60" s="999"/>
      <c r="O60" s="999"/>
      <c r="P60" s="999"/>
      <c r="Q60" s="999"/>
      <c r="R60" s="849"/>
      <c r="S60" s="849"/>
      <c r="T60" s="849"/>
      <c r="U60" s="849"/>
      <c r="V60" s="849"/>
      <c r="W60" s="849"/>
      <c r="X60" s="849"/>
      <c r="Y60" s="849"/>
      <c r="Z60" s="849"/>
      <c r="AA60" s="849"/>
      <c r="AB60" s="849"/>
      <c r="AC60" s="849"/>
      <c r="AD60" s="849"/>
      <c r="AE60" s="849"/>
      <c r="AF60" s="849"/>
      <c r="AG60" s="849"/>
      <c r="AH60" s="849"/>
      <c r="AI60" s="849"/>
      <c r="AJ60" s="849"/>
      <c r="AK60" s="849"/>
      <c r="AL60" s="849"/>
      <c r="AM60" s="849"/>
      <c r="AN60" s="849"/>
      <c r="AO60" s="849"/>
    </row>
    <row r="61" spans="1:41" s="850" customFormat="1" ht="18" hidden="1">
      <c r="A61" s="2159" t="s">
        <v>76</v>
      </c>
      <c r="B61" s="2156" t="s">
        <v>12</v>
      </c>
      <c r="C61" s="2160"/>
      <c r="D61" s="345">
        <f>'Pl 2016-20 PFC'!D62</f>
        <v>1750000</v>
      </c>
      <c r="E61" s="935">
        <f>'Pl 2016-20 PFC'!E62</f>
        <v>1650000</v>
      </c>
      <c r="F61" s="935">
        <f>'Pl 2016-20 PFC'!F62</f>
        <v>2500000</v>
      </c>
      <c r="G61" s="1044">
        <f>'Pl 2016-20 PFC'!G62</f>
        <v>2500000</v>
      </c>
      <c r="H61" s="934">
        <f>F61-G61</f>
        <v>0</v>
      </c>
      <c r="I61" s="935">
        <f>'Pl 2016-20 PFC'!H62</f>
        <v>0</v>
      </c>
      <c r="J61" s="935">
        <f>'Pl 2016-20 PFC'!I62</f>
        <v>2500000</v>
      </c>
      <c r="K61" s="935" t="e">
        <f>'Pl 2016-20 PFC'!#REF!</f>
        <v>#REF!</v>
      </c>
      <c r="L61" s="996">
        <f t="shared" si="2"/>
        <v>151.5151515151515</v>
      </c>
      <c r="M61" s="999"/>
      <c r="N61" s="999"/>
      <c r="O61" s="999"/>
      <c r="P61" s="999"/>
      <c r="Q61" s="999"/>
      <c r="R61" s="849"/>
      <c r="S61" s="849"/>
      <c r="T61" s="849"/>
      <c r="U61" s="849"/>
      <c r="V61" s="849"/>
      <c r="W61" s="849"/>
      <c r="X61" s="849"/>
      <c r="Y61" s="849"/>
      <c r="Z61" s="849"/>
      <c r="AA61" s="849"/>
      <c r="AB61" s="849"/>
      <c r="AC61" s="849"/>
      <c r="AD61" s="849"/>
      <c r="AE61" s="849"/>
      <c r="AF61" s="849"/>
      <c r="AG61" s="849"/>
      <c r="AH61" s="849"/>
      <c r="AI61" s="849"/>
      <c r="AJ61" s="849"/>
      <c r="AK61" s="849"/>
      <c r="AL61" s="849"/>
      <c r="AM61" s="849"/>
      <c r="AN61" s="849"/>
      <c r="AO61" s="849"/>
    </row>
    <row r="62" spans="1:41" s="850" customFormat="1" ht="18" hidden="1">
      <c r="A62" s="2161" t="s">
        <v>77</v>
      </c>
      <c r="B62" s="2259" t="s">
        <v>13</v>
      </c>
      <c r="C62" s="2259"/>
      <c r="D62" s="851"/>
      <c r="E62" s="936"/>
      <c r="F62" s="936"/>
      <c r="G62" s="1611"/>
      <c r="H62" s="934">
        <f>F62-G62</f>
        <v>0</v>
      </c>
      <c r="I62" s="936"/>
      <c r="J62" s="936"/>
      <c r="K62" s="936"/>
      <c r="L62" s="996" t="e">
        <f t="shared" si="2"/>
        <v>#DIV/0!</v>
      </c>
      <c r="M62" s="999"/>
      <c r="N62" s="999"/>
      <c r="O62" s="999"/>
      <c r="P62" s="999"/>
      <c r="Q62" s="999"/>
      <c r="R62" s="849"/>
      <c r="S62" s="849"/>
      <c r="T62" s="849"/>
      <c r="U62" s="849"/>
      <c r="V62" s="849"/>
      <c r="W62" s="849"/>
      <c r="X62" s="849"/>
      <c r="Y62" s="849"/>
      <c r="Z62" s="849"/>
      <c r="AA62" s="849"/>
      <c r="AB62" s="849"/>
      <c r="AC62" s="849"/>
      <c r="AD62" s="849"/>
      <c r="AE62" s="849"/>
      <c r="AF62" s="849"/>
      <c r="AG62" s="849"/>
      <c r="AH62" s="849"/>
      <c r="AI62" s="849"/>
      <c r="AJ62" s="849"/>
      <c r="AK62" s="849"/>
      <c r="AL62" s="849"/>
      <c r="AM62" s="849"/>
      <c r="AN62" s="849"/>
      <c r="AO62" s="849"/>
    </row>
    <row r="63" spans="1:41" s="362" customFormat="1" ht="18.600000000000001" thickBot="1">
      <c r="A63" s="2162"/>
      <c r="B63" s="2260"/>
      <c r="C63" s="2260"/>
      <c r="D63" s="852"/>
      <c r="E63" s="937"/>
      <c r="F63" s="937"/>
      <c r="G63" s="1115"/>
      <c r="H63" s="937"/>
      <c r="I63" s="937"/>
      <c r="J63" s="937"/>
      <c r="K63" s="937"/>
      <c r="L63" s="996"/>
      <c r="M63" s="1000"/>
      <c r="N63" s="1000"/>
      <c r="O63" s="1000"/>
      <c r="P63" s="1000"/>
      <c r="Q63" s="1000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</row>
    <row r="64" spans="1:41" s="301" customFormat="1" ht="18">
      <c r="A64" s="316"/>
      <c r="B64" s="316"/>
      <c r="C64" s="316"/>
      <c r="D64" s="316"/>
      <c r="E64" s="316"/>
      <c r="F64" s="316"/>
      <c r="G64" s="1072"/>
      <c r="H64" s="316"/>
      <c r="I64" s="316"/>
      <c r="J64" s="316"/>
      <c r="K64" s="316"/>
      <c r="L64" s="991"/>
      <c r="M64" s="984"/>
      <c r="N64" s="984"/>
      <c r="O64" s="984"/>
      <c r="P64" s="984"/>
      <c r="Q64" s="984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4"/>
      <c r="AO64" s="304"/>
    </row>
    <row r="65" spans="1:41" ht="18.600000000000001" thickBot="1">
      <c r="A65" s="315" t="s">
        <v>348</v>
      </c>
      <c r="B65" s="2163"/>
      <c r="C65" s="300"/>
      <c r="E65" s="353"/>
      <c r="F65" s="353"/>
      <c r="G65" s="1119"/>
      <c r="H65" s="353"/>
      <c r="I65" s="353"/>
      <c r="J65" s="353"/>
      <c r="K65" s="353"/>
      <c r="L65" s="991"/>
      <c r="M65" s="986"/>
      <c r="N65" s="986"/>
      <c r="O65" s="986"/>
      <c r="P65" s="986"/>
      <c r="Q65" s="986"/>
    </row>
    <row r="66" spans="1:41" s="320" customFormat="1" ht="105.75" customHeight="1" thickBot="1">
      <c r="A66" s="2252" t="s">
        <v>7</v>
      </c>
      <c r="B66" s="2253" t="s">
        <v>8</v>
      </c>
      <c r="C66" s="2252" t="s">
        <v>79</v>
      </c>
      <c r="D66" s="317" t="str">
        <f t="shared" ref="D66:K66" si="4">D14</f>
        <v>Plan
 po zmianach
2015</v>
      </c>
      <c r="E66" s="317" t="str">
        <f t="shared" si="4"/>
        <v>Przewidywane 
wykonanie 
w 2015</v>
      </c>
      <c r="F66" s="317" t="str">
        <f t="shared" si="4"/>
        <v>Projekt planu 
na 2016 r.</v>
      </c>
      <c r="G66" s="1583" t="str">
        <f t="shared" si="4"/>
        <v>Plan  
na 2016 r.</v>
      </c>
      <c r="H66" s="317" t="str">
        <f t="shared" si="4"/>
        <v>różnice</v>
      </c>
      <c r="I66" s="317" t="str">
        <f t="shared" si="4"/>
        <v xml:space="preserve">Zmiany  </v>
      </c>
      <c r="J66" s="317" t="str">
        <f t="shared" si="4"/>
        <v xml:space="preserve">Plan wg. Ustawy Budżetowej zmieniony za zgodą MF z dnia 
28 kwietnia 2016 r. oraz 
opinią KFP z dnia 28 kwietnia 2016 r. </v>
      </c>
      <c r="K66" s="317" t="e">
        <f t="shared" si="4"/>
        <v>#REF!</v>
      </c>
      <c r="L66" s="991"/>
      <c r="M66" s="988"/>
      <c r="N66" s="988"/>
      <c r="O66" s="988"/>
      <c r="P66" s="988"/>
      <c r="Q66" s="98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9"/>
      <c r="AO66" s="319"/>
    </row>
    <row r="67" spans="1:41" s="320" customFormat="1" ht="16.5" customHeight="1" thickBot="1">
      <c r="A67" s="2252"/>
      <c r="B67" s="2253"/>
      <c r="C67" s="2252"/>
      <c r="D67" s="810"/>
      <c r="E67" s="2236" t="str">
        <f>E15</f>
        <v>w tysiącach złotych</v>
      </c>
      <c r="F67" s="2236"/>
      <c r="G67" s="2236"/>
      <c r="H67" s="2236"/>
      <c r="I67" s="2236"/>
      <c r="J67" s="2236"/>
      <c r="K67" s="2236"/>
      <c r="L67" s="991"/>
      <c r="M67" s="988"/>
      <c r="N67" s="988"/>
      <c r="O67" s="988"/>
      <c r="P67" s="988"/>
      <c r="Q67" s="98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9"/>
      <c r="AO67" s="319"/>
    </row>
    <row r="68" spans="1:41" s="328" customFormat="1" ht="12.9" customHeight="1" thickBot="1">
      <c r="A68" s="2164">
        <v>1</v>
      </c>
      <c r="B68" s="2165">
        <v>2</v>
      </c>
      <c r="C68" s="2166">
        <v>3</v>
      </c>
      <c r="D68" s="323"/>
      <c r="E68" s="324">
        <v>4</v>
      </c>
      <c r="F68" s="323" t="s">
        <v>349</v>
      </c>
      <c r="G68" s="1082" t="s">
        <v>639</v>
      </c>
      <c r="H68" s="323"/>
      <c r="I68" s="325">
        <v>4</v>
      </c>
      <c r="J68" s="325">
        <v>5</v>
      </c>
      <c r="K68" s="323" t="s">
        <v>350</v>
      </c>
      <c r="L68" s="991">
        <f t="shared" si="2"/>
        <v>75</v>
      </c>
      <c r="M68" s="990"/>
      <c r="N68" s="990"/>
      <c r="O68" s="990"/>
      <c r="P68" s="990"/>
      <c r="Q68" s="990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7"/>
      <c r="AO68" s="327"/>
    </row>
    <row r="69" spans="1:41" s="328" customFormat="1" ht="9.9" customHeight="1">
      <c r="A69" s="2167"/>
      <c r="B69" s="2168"/>
      <c r="C69" s="2169"/>
      <c r="D69" s="331"/>
      <c r="E69" s="354"/>
      <c r="F69" s="332"/>
      <c r="G69" s="1091"/>
      <c r="H69" s="332"/>
      <c r="I69" s="332"/>
      <c r="J69" s="332"/>
      <c r="K69" s="332"/>
      <c r="L69" s="991"/>
      <c r="M69" s="990"/>
      <c r="N69" s="990"/>
      <c r="O69" s="990"/>
      <c r="P69" s="990"/>
      <c r="Q69" s="990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7"/>
      <c r="AO69" s="327"/>
    </row>
    <row r="70" spans="1:41" s="336" customFormat="1" ht="18">
      <c r="A70" s="2135" t="s">
        <v>515</v>
      </c>
      <c r="B70" s="2136" t="s">
        <v>80</v>
      </c>
      <c r="C70" s="2137" t="s">
        <v>81</v>
      </c>
      <c r="D70" s="960">
        <f>SUM(D72:D73,D76)+SUM(D80:D85)</f>
        <v>294760000</v>
      </c>
      <c r="E70" s="961">
        <f>SUM(E72:E73,E76)+SUM(E80:E85)</f>
        <v>376115000</v>
      </c>
      <c r="F70" s="962">
        <f>SUM(F72:F73,F76)+SUM(F80:F85)</f>
        <v>294248000</v>
      </c>
      <c r="G70" s="2093">
        <f>SUM(G72:G73,G76)+SUM(G80:G85)</f>
        <v>294248000</v>
      </c>
      <c r="H70" s="2094">
        <f>G70-F70</f>
        <v>0</v>
      </c>
      <c r="I70" s="2094">
        <f>SUM(I72:I73,I76)+SUM(I80:I85)</f>
        <v>0</v>
      </c>
      <c r="J70" s="2094">
        <f>SUM(J72:J73,J76)+SUM(J80:J85)</f>
        <v>294248000</v>
      </c>
      <c r="K70" s="962" t="e">
        <f>SUM(K72:K73,K76)+SUM(K80:K85)</f>
        <v>#REF!</v>
      </c>
      <c r="L70" s="991">
        <f t="shared" si="2"/>
        <v>78.233519003496269</v>
      </c>
      <c r="M70" s="992"/>
      <c r="N70" s="992"/>
      <c r="O70" s="992"/>
      <c r="P70" s="992"/>
      <c r="Q70" s="992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</row>
    <row r="71" spans="1:41" s="356" customFormat="1" ht="15.75" customHeight="1">
      <c r="A71" s="2140"/>
      <c r="B71" s="2141" t="s">
        <v>82</v>
      </c>
      <c r="C71" s="2142"/>
      <c r="D71" s="367"/>
      <c r="E71" s="935"/>
      <c r="F71" s="935"/>
      <c r="G71" s="2088"/>
      <c r="H71" s="2089"/>
      <c r="I71" s="2089"/>
      <c r="J71" s="2089"/>
      <c r="K71" s="935"/>
      <c r="L71" s="991"/>
      <c r="M71" s="994"/>
      <c r="N71" s="994"/>
      <c r="O71" s="994"/>
      <c r="P71" s="994"/>
      <c r="Q71" s="994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55"/>
      <c r="AO71" s="355"/>
    </row>
    <row r="72" spans="1:41" s="342" customFormat="1" ht="18">
      <c r="A72" s="2146">
        <v>1</v>
      </c>
      <c r="B72" s="2141" t="s">
        <v>351</v>
      </c>
      <c r="C72" s="2148" t="s">
        <v>81</v>
      </c>
      <c r="D72" s="346">
        <f>'Pl 2016-20 PFC'!D73</f>
        <v>301954000</v>
      </c>
      <c r="E72" s="938">
        <f>'Pl 2016-20 PFC'!E73</f>
        <v>365131000</v>
      </c>
      <c r="F72" s="938">
        <f>'Pl 2016-20 PFC'!F73</f>
        <v>340016000</v>
      </c>
      <c r="G72" s="2097">
        <f>'Pl 2016-20 PFC'!G73</f>
        <v>340016000</v>
      </c>
      <c r="H72" s="2097">
        <f>G72-F72</f>
        <v>0</v>
      </c>
      <c r="I72" s="2097">
        <f>'Pl 2016-20 PFC'!H73</f>
        <v>0</v>
      </c>
      <c r="J72" s="2097">
        <f>'Pl 2016-20 PFC'!I73</f>
        <v>340016000</v>
      </c>
      <c r="K72" s="939" t="e">
        <f>'Pl 2016-20 PFC'!#REF!</f>
        <v>#REF!</v>
      </c>
      <c r="L72" s="991">
        <f t="shared" si="2"/>
        <v>93.121646751439897</v>
      </c>
      <c r="M72" s="994"/>
      <c r="N72" s="994"/>
      <c r="O72" s="994"/>
      <c r="P72" s="994"/>
      <c r="Q72" s="994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41"/>
      <c r="AO72" s="341"/>
    </row>
    <row r="73" spans="1:41" s="342" customFormat="1" ht="18">
      <c r="A73" s="2146">
        <v>2</v>
      </c>
      <c r="B73" s="2141" t="s">
        <v>86</v>
      </c>
      <c r="C73" s="2148" t="s">
        <v>81</v>
      </c>
      <c r="D73" s="346">
        <f>'Pl 2016-20 PFC'!D76</f>
        <v>837612000</v>
      </c>
      <c r="E73" s="938">
        <f>'Pl 2016-20 PFC'!E76</f>
        <v>770521000</v>
      </c>
      <c r="F73" s="938">
        <f>'Pl 2016-20 PFC'!F76</f>
        <v>830553000</v>
      </c>
      <c r="G73" s="2097">
        <f>'Pl 2016-20 PFC'!G76</f>
        <v>830553000</v>
      </c>
      <c r="H73" s="2097">
        <f t="shared" ref="H73:H87" si="5">G73-F73</f>
        <v>0</v>
      </c>
      <c r="I73" s="2097">
        <f>'Pl 2016-20 PFC'!H76</f>
        <v>0</v>
      </c>
      <c r="J73" s="2097">
        <f>'Pl 2016-20 PFC'!I76</f>
        <v>830553000</v>
      </c>
      <c r="K73" s="939" t="e">
        <f>'Pl 2016-20 PFC'!#REF!</f>
        <v>#REF!</v>
      </c>
      <c r="L73" s="991">
        <f t="shared" si="2"/>
        <v>107.79109200138608</v>
      </c>
      <c r="M73" s="994"/>
      <c r="N73" s="994"/>
      <c r="O73" s="994"/>
      <c r="P73" s="994"/>
      <c r="Q73" s="994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41"/>
      <c r="AO73" s="341"/>
    </row>
    <row r="74" spans="1:41" s="342" customFormat="1" ht="18">
      <c r="A74" s="2146" t="s">
        <v>20</v>
      </c>
      <c r="B74" s="2141" t="s">
        <v>352</v>
      </c>
      <c r="C74" s="2148" t="s">
        <v>81</v>
      </c>
      <c r="D74" s="346">
        <f>'Pl 2016-20 PFC'!D77</f>
        <v>610000000</v>
      </c>
      <c r="E74" s="938">
        <f>'Pl 2016-20 PFC'!E77</f>
        <v>530739909.50999999</v>
      </c>
      <c r="F74" s="938">
        <f>'Pl 2016-20 PFC'!F77</f>
        <v>550000000</v>
      </c>
      <c r="G74" s="2097">
        <f>'Pl 2016-20 PFC'!G77</f>
        <v>550000000</v>
      </c>
      <c r="H74" s="2097">
        <f t="shared" si="5"/>
        <v>0</v>
      </c>
      <c r="I74" s="2097">
        <f>'Pl 2016-20 PFC'!H77</f>
        <v>0</v>
      </c>
      <c r="J74" s="2097">
        <f>'Pl 2016-20 PFC'!I77</f>
        <v>550000000</v>
      </c>
      <c r="K74" s="939" t="e">
        <f>'Pl 2016-20 PFC'!#REF!</f>
        <v>#REF!</v>
      </c>
      <c r="L74" s="991">
        <f t="shared" si="2"/>
        <v>103.62891317289136</v>
      </c>
      <c r="M74" s="994"/>
      <c r="N74" s="994"/>
      <c r="O74" s="994"/>
      <c r="P74" s="994"/>
      <c r="Q74" s="994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41"/>
      <c r="AO74" s="341"/>
    </row>
    <row r="75" spans="1:41" s="342" customFormat="1" ht="18">
      <c r="A75" s="2146" t="s">
        <v>189</v>
      </c>
      <c r="B75" s="2141" t="s">
        <v>353</v>
      </c>
      <c r="C75" s="2148" t="s">
        <v>81</v>
      </c>
      <c r="D75" s="346">
        <f>'Pl 2016-20 PFC'!D78</f>
        <v>5380000</v>
      </c>
      <c r="E75" s="938">
        <f>'Pl 2016-20 PFC'!E78</f>
        <v>2113000</v>
      </c>
      <c r="F75" s="938">
        <f>'Pl 2016-20 PFC'!F78</f>
        <v>3345790</v>
      </c>
      <c r="G75" s="2097">
        <f>'Pl 2016-20 PFC'!G78</f>
        <v>3345790</v>
      </c>
      <c r="H75" s="2097">
        <f t="shared" si="5"/>
        <v>0</v>
      </c>
      <c r="I75" s="2097">
        <f>'Pl 2016-20 PFC'!H78</f>
        <v>0</v>
      </c>
      <c r="J75" s="2097">
        <f>'Pl 2016-20 PFC'!I78</f>
        <v>3345790</v>
      </c>
      <c r="K75" s="939" t="e">
        <f>'Pl 2016-20 PFC'!#REF!</f>
        <v>#REF!</v>
      </c>
      <c r="L75" s="991">
        <f t="shared" si="2"/>
        <v>158.34311405584478</v>
      </c>
      <c r="M75" s="994"/>
      <c r="N75" s="994"/>
      <c r="O75" s="994"/>
      <c r="P75" s="994"/>
      <c r="Q75" s="994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41"/>
      <c r="AO75" s="341"/>
    </row>
    <row r="76" spans="1:41" s="342" customFormat="1" ht="18">
      <c r="A76" s="2146">
        <v>3</v>
      </c>
      <c r="B76" s="2141" t="s">
        <v>354</v>
      </c>
      <c r="C76" s="2148" t="s">
        <v>81</v>
      </c>
      <c r="D76" s="346">
        <f>'Pl 2016-20 PFC'!D79</f>
        <v>-62772000</v>
      </c>
      <c r="E76" s="938">
        <f>'Pl 2016-20 PFC'!E79</f>
        <v>-71810000</v>
      </c>
      <c r="F76" s="938">
        <f>'Pl 2016-20 PFC'!F79</f>
        <v>-58346000</v>
      </c>
      <c r="G76" s="2097">
        <f>'Pl 2016-20 PFC'!G79</f>
        <v>-58346000</v>
      </c>
      <c r="H76" s="2097">
        <f t="shared" si="5"/>
        <v>0</v>
      </c>
      <c r="I76" s="2097">
        <f>'Pl 2016-20 PFC'!H79</f>
        <v>0</v>
      </c>
      <c r="J76" s="2097">
        <f>'Pl 2016-20 PFC'!I79</f>
        <v>-58346000</v>
      </c>
      <c r="K76" s="939" t="e">
        <f>'Pl 2016-20 PFC'!#REF!</f>
        <v>#REF!</v>
      </c>
      <c r="L76" s="991">
        <f t="shared" si="2"/>
        <v>81.250522211391171</v>
      </c>
      <c r="M76" s="994"/>
      <c r="N76" s="994"/>
      <c r="O76" s="994"/>
      <c r="P76" s="994"/>
      <c r="Q76" s="994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41"/>
      <c r="AO76" s="341"/>
    </row>
    <row r="77" spans="1:41" s="342" customFormat="1" ht="18">
      <c r="A77" s="2146" t="s">
        <v>355</v>
      </c>
      <c r="B77" s="2141" t="str">
        <f>+'Pl 2016-20 PFC'!B80</f>
        <v>pozostałe</v>
      </c>
      <c r="C77" s="2148" t="s">
        <v>81</v>
      </c>
      <c r="D77" s="346">
        <f>'Pl 2016-20 PFC'!D80</f>
        <v>-62772000</v>
      </c>
      <c r="E77" s="938">
        <f>'Pl 2016-20 PFC'!E80</f>
        <v>-71810000</v>
      </c>
      <c r="F77" s="938">
        <f>'Pl 2016-20 PFC'!F80</f>
        <v>-58346000</v>
      </c>
      <c r="G77" s="2097">
        <f>'Pl 2016-20 PFC'!G80</f>
        <v>-58346000</v>
      </c>
      <c r="H77" s="2097">
        <f t="shared" si="5"/>
        <v>0</v>
      </c>
      <c r="I77" s="2097">
        <f>'Pl 2016-20 PFC'!H80</f>
        <v>0</v>
      </c>
      <c r="J77" s="2097">
        <f>'Pl 2016-20 PFC'!I80</f>
        <v>-58346000</v>
      </c>
      <c r="K77" s="939" t="e">
        <f>'Pl 2016-20 PFC'!#REF!</f>
        <v>#REF!</v>
      </c>
      <c r="L77" s="991">
        <f t="shared" si="2"/>
        <v>81.250522211391171</v>
      </c>
      <c r="M77" s="994"/>
      <c r="N77" s="994"/>
      <c r="O77" s="994"/>
      <c r="P77" s="994"/>
      <c r="Q77" s="994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41"/>
      <c r="AO77" s="341"/>
    </row>
    <row r="78" spans="1:41" s="342" customFormat="1" ht="18" hidden="1">
      <c r="A78" s="2146" t="s">
        <v>93</v>
      </c>
      <c r="B78" s="2141" t="str">
        <f>+'Pl 2016-20 PFC'!B81</f>
        <v xml:space="preserve">  - wymagalne</v>
      </c>
      <c r="C78" s="2148" t="s">
        <v>81</v>
      </c>
      <c r="D78" s="346">
        <f>'Pl 2016-20 PFC'!D81</f>
        <v>0</v>
      </c>
      <c r="E78" s="938">
        <f>'Pl 2016-20 PFC'!E81</f>
        <v>0</v>
      </c>
      <c r="F78" s="938">
        <f>'Pl 2016-20 PFC'!F81</f>
        <v>0</v>
      </c>
      <c r="G78" s="2097">
        <f>'Pl 2016-20 PFC'!G81</f>
        <v>0</v>
      </c>
      <c r="H78" s="2097">
        <f t="shared" si="5"/>
        <v>0</v>
      </c>
      <c r="I78" s="2097">
        <f>'Pl 2016-20 PFC'!H81</f>
        <v>0</v>
      </c>
      <c r="J78" s="2097">
        <f>'Pl 2016-20 PFC'!I81</f>
        <v>0</v>
      </c>
      <c r="K78" s="939" t="e">
        <f>'Pl 2016-20 PFC'!#REF!</f>
        <v>#REF!</v>
      </c>
      <c r="L78" s="991" t="e">
        <f t="shared" si="2"/>
        <v>#DIV/0!</v>
      </c>
      <c r="M78" s="994"/>
      <c r="N78" s="994"/>
      <c r="O78" s="994"/>
      <c r="P78" s="994"/>
      <c r="Q78" s="994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41"/>
      <c r="AO78" s="341"/>
    </row>
    <row r="79" spans="1:41" s="342" customFormat="1" ht="18">
      <c r="A79" s="2146" t="s">
        <v>356</v>
      </c>
      <c r="B79" s="2141" t="s">
        <v>95</v>
      </c>
      <c r="C79" s="2148" t="s">
        <v>81</v>
      </c>
      <c r="D79" s="346"/>
      <c r="E79" s="938"/>
      <c r="F79" s="938"/>
      <c r="G79" s="2097"/>
      <c r="H79" s="2097">
        <f t="shared" si="5"/>
        <v>0</v>
      </c>
      <c r="I79" s="2097"/>
      <c r="J79" s="2097"/>
      <c r="K79" s="939"/>
      <c r="L79" s="991"/>
      <c r="M79" s="994"/>
      <c r="N79" s="994"/>
      <c r="O79" s="994"/>
      <c r="P79" s="994"/>
      <c r="Q79" s="994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41"/>
      <c r="AO79" s="341"/>
    </row>
    <row r="80" spans="1:41" s="356" customFormat="1" ht="18" hidden="1">
      <c r="A80" s="2146" t="s">
        <v>24</v>
      </c>
      <c r="B80" s="2141" t="s">
        <v>96</v>
      </c>
      <c r="C80" s="2148" t="s">
        <v>81</v>
      </c>
      <c r="D80" s="346">
        <f>'Pl 2016-20 PFC'!D83</f>
        <v>9653000</v>
      </c>
      <c r="E80" s="938">
        <f>'Pl 2016-20 PFC'!E83</f>
        <v>17179000</v>
      </c>
      <c r="F80" s="938">
        <f>'Pl 2016-20 PFC'!F83</f>
        <v>25809000</v>
      </c>
      <c r="G80" s="2097">
        <f>'Pl 2016-20 PFC'!G83</f>
        <v>25809000</v>
      </c>
      <c r="H80" s="2097">
        <f t="shared" si="5"/>
        <v>0</v>
      </c>
      <c r="I80" s="2097">
        <f>'Pl 2016-20 PFC'!H83</f>
        <v>0</v>
      </c>
      <c r="J80" s="2097">
        <f>'Pl 2016-20 PFC'!I83</f>
        <v>25809000</v>
      </c>
      <c r="K80" s="939" t="e">
        <f>'Pl 2016-20 PFC'!#REF!</f>
        <v>#REF!</v>
      </c>
      <c r="L80" s="991">
        <f t="shared" si="2"/>
        <v>150.23575295418826</v>
      </c>
      <c r="M80" s="994"/>
      <c r="N80" s="994"/>
      <c r="O80" s="994"/>
      <c r="P80" s="994"/>
      <c r="Q80" s="994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55"/>
      <c r="AO80" s="355"/>
    </row>
    <row r="81" spans="1:41" s="356" customFormat="1" ht="18" hidden="1">
      <c r="A81" s="2146" t="s">
        <v>25</v>
      </c>
      <c r="B81" s="2141" t="s">
        <v>97</v>
      </c>
      <c r="C81" s="2148" t="s">
        <v>81</v>
      </c>
      <c r="D81" s="346">
        <f>'Pl 2016-20 PFC'!D84</f>
        <v>9438000</v>
      </c>
      <c r="E81" s="938">
        <f>'Pl 2016-20 PFC'!E84</f>
        <v>34120000</v>
      </c>
      <c r="F81" s="938">
        <f>'Pl 2016-20 PFC'!F84</f>
        <v>45361000</v>
      </c>
      <c r="G81" s="2097">
        <f>'Pl 2016-20 PFC'!G84</f>
        <v>45361000</v>
      </c>
      <c r="H81" s="2097">
        <f t="shared" si="5"/>
        <v>0</v>
      </c>
      <c r="I81" s="2097">
        <f>'Pl 2016-20 PFC'!H84</f>
        <v>0</v>
      </c>
      <c r="J81" s="2097">
        <f>'Pl 2016-20 PFC'!I84</f>
        <v>45361000</v>
      </c>
      <c r="K81" s="939" t="e">
        <f>'Pl 2016-20 PFC'!#REF!</f>
        <v>#REF!</v>
      </c>
      <c r="L81" s="991">
        <f t="shared" si="2"/>
        <v>132.94548651817115</v>
      </c>
      <c r="M81" s="994"/>
      <c r="N81" s="994"/>
      <c r="O81" s="994"/>
      <c r="P81" s="994"/>
      <c r="Q81" s="994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55"/>
      <c r="AO81" s="355"/>
    </row>
    <row r="82" spans="1:41" s="342" customFormat="1" ht="18" hidden="1">
      <c r="A82" s="2146" t="s">
        <v>29</v>
      </c>
      <c r="B82" s="2141" t="s">
        <v>98</v>
      </c>
      <c r="C82" s="2148" t="s">
        <v>81</v>
      </c>
      <c r="D82" s="346">
        <f>'Pl 2016-20 PFC'!D85</f>
        <v>-1500000</v>
      </c>
      <c r="E82" s="938">
        <f>'Pl 2016-20 PFC'!E85</f>
        <v>-1936000</v>
      </c>
      <c r="F82" s="938">
        <f>'Pl 2016-20 PFC'!F85</f>
        <v>-1450000</v>
      </c>
      <c r="G82" s="2097">
        <f>'Pl 2016-20 PFC'!G85</f>
        <v>-1450000</v>
      </c>
      <c r="H82" s="2097">
        <f t="shared" si="5"/>
        <v>0</v>
      </c>
      <c r="I82" s="2097">
        <f>'Pl 2016-20 PFC'!H85</f>
        <v>0</v>
      </c>
      <c r="J82" s="2097">
        <f>'Pl 2016-20 PFC'!I85</f>
        <v>-1450000</v>
      </c>
      <c r="K82" s="939" t="e">
        <f>'Pl 2016-20 PFC'!#REF!</f>
        <v>#REF!</v>
      </c>
      <c r="L82" s="991">
        <f t="shared" si="2"/>
        <v>74.896694214876035</v>
      </c>
      <c r="M82" s="994"/>
      <c r="N82" s="994"/>
      <c r="O82" s="994"/>
      <c r="P82" s="994"/>
      <c r="Q82" s="994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41"/>
      <c r="AO82" s="341"/>
    </row>
    <row r="83" spans="1:41" s="342" customFormat="1" ht="18" hidden="1">
      <c r="A83" s="2146" t="s">
        <v>31</v>
      </c>
      <c r="B83" s="2141" t="s">
        <v>99</v>
      </c>
      <c r="C83" s="2148" t="s">
        <v>81</v>
      </c>
      <c r="D83" s="346">
        <f>'Pl 2016-20 PFC'!D86</f>
        <v>0</v>
      </c>
      <c r="E83" s="1354">
        <f>'Pl 2016-20 PFC'!E86</f>
        <v>0</v>
      </c>
      <c r="F83" s="1354">
        <f>'Pl 2016-20 PFC'!F86</f>
        <v>0</v>
      </c>
      <c r="G83" s="2098">
        <f>'Pl 2016-20 PFC'!G86</f>
        <v>0</v>
      </c>
      <c r="H83" s="2098">
        <f t="shared" si="5"/>
        <v>0</v>
      </c>
      <c r="I83" s="2098">
        <f>'Pl 2016-20 PFC'!H86</f>
        <v>0</v>
      </c>
      <c r="J83" s="2098">
        <f>'Pl 2016-20 PFC'!I86</f>
        <v>0</v>
      </c>
      <c r="K83" s="1355" t="e">
        <f>'Pl 2016-20 PFC'!#REF!</f>
        <v>#REF!</v>
      </c>
      <c r="L83" s="991"/>
      <c r="M83" s="994"/>
      <c r="N83" s="994"/>
      <c r="O83" s="994"/>
      <c r="P83" s="994"/>
      <c r="Q83" s="994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41"/>
      <c r="AO83" s="341"/>
    </row>
    <row r="84" spans="1:41" s="342" customFormat="1" ht="18" hidden="1">
      <c r="A84" s="2146" t="s">
        <v>35</v>
      </c>
      <c r="B84" s="2141" t="s">
        <v>100</v>
      </c>
      <c r="C84" s="2148" t="s">
        <v>81</v>
      </c>
      <c r="D84" s="346">
        <f>'Pl 2016-20 PFC'!D87</f>
        <v>-796375000</v>
      </c>
      <c r="E84" s="938">
        <f>'Pl 2016-20 PFC'!E87</f>
        <v>-734878000</v>
      </c>
      <c r="F84" s="938">
        <f>'Pl 2016-20 PFC'!F87</f>
        <v>-884395000</v>
      </c>
      <c r="G84" s="2097">
        <f>'Pl 2016-20 PFC'!G87</f>
        <v>-884395000</v>
      </c>
      <c r="H84" s="2097">
        <f t="shared" si="5"/>
        <v>0</v>
      </c>
      <c r="I84" s="2097">
        <f>'Pl 2016-20 PFC'!H87</f>
        <v>0</v>
      </c>
      <c r="J84" s="2097">
        <f>'Pl 2016-20 PFC'!I87</f>
        <v>-884395000</v>
      </c>
      <c r="K84" s="939" t="e">
        <f>'Pl 2016-20 PFC'!#REF!</f>
        <v>#REF!</v>
      </c>
      <c r="L84" s="991">
        <f t="shared" ref="L84:L150" si="6">G84/E84%</f>
        <v>120.34582610991212</v>
      </c>
      <c r="M84" s="994"/>
      <c r="N84" s="994"/>
      <c r="O84" s="994"/>
      <c r="P84" s="994"/>
      <c r="Q84" s="994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41"/>
      <c r="AO84" s="341"/>
    </row>
    <row r="85" spans="1:41" s="342" customFormat="1" ht="18" hidden="1">
      <c r="A85" s="2146" t="s">
        <v>38</v>
      </c>
      <c r="B85" s="2141" t="s">
        <v>101</v>
      </c>
      <c r="C85" s="2148" t="s">
        <v>81</v>
      </c>
      <c r="D85" s="346">
        <f>'Pl 2016-20 PFC'!D88</f>
        <v>-3250000</v>
      </c>
      <c r="E85" s="938">
        <f>'Pl 2016-20 PFC'!E88</f>
        <v>-2212000</v>
      </c>
      <c r="F85" s="938">
        <f>'Pl 2016-20 PFC'!F88</f>
        <v>-3300000</v>
      </c>
      <c r="G85" s="2097">
        <f>'Pl 2016-20 PFC'!G88</f>
        <v>-3300000</v>
      </c>
      <c r="H85" s="2097">
        <f t="shared" si="5"/>
        <v>0</v>
      </c>
      <c r="I85" s="2097">
        <f>'Pl 2016-20 PFC'!H88</f>
        <v>0</v>
      </c>
      <c r="J85" s="2097">
        <f>'Pl 2016-20 PFC'!I88</f>
        <v>-3300000</v>
      </c>
      <c r="K85" s="939" t="e">
        <f>'Pl 2016-20 PFC'!#REF!</f>
        <v>#REF!</v>
      </c>
      <c r="L85" s="991">
        <f t="shared" si="6"/>
        <v>149.18625678119349</v>
      </c>
      <c r="M85" s="994"/>
      <c r="N85" s="994"/>
      <c r="O85" s="994"/>
      <c r="P85" s="994"/>
      <c r="Q85" s="994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41"/>
      <c r="AO85" s="341"/>
    </row>
    <row r="86" spans="1:41" s="352" customFormat="1" ht="18">
      <c r="A86" s="2170"/>
      <c r="B86" s="2171"/>
      <c r="C86" s="2170"/>
      <c r="D86" s="359"/>
      <c r="E86" s="940"/>
      <c r="F86" s="940"/>
      <c r="G86" s="2099"/>
      <c r="H86" s="2099"/>
      <c r="I86" s="2099"/>
      <c r="J86" s="2099"/>
      <c r="K86" s="941"/>
      <c r="L86" s="991"/>
      <c r="M86" s="1001"/>
      <c r="N86" s="1001"/>
      <c r="O86" s="1001"/>
      <c r="P86" s="1001"/>
      <c r="Q86" s="1001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1"/>
      <c r="AO86" s="351"/>
    </row>
    <row r="87" spans="1:41" s="336" customFormat="1" ht="18">
      <c r="A87" s="2172" t="s">
        <v>589</v>
      </c>
      <c r="B87" s="2173" t="s">
        <v>357</v>
      </c>
      <c r="C87" s="2172" t="s">
        <v>81</v>
      </c>
      <c r="D87" s="966">
        <f>SUM(D89,D94,D96,D98,D100)</f>
        <v>4584719000</v>
      </c>
      <c r="E87" s="967">
        <f>SUM(E89,E94,E96,E98,E100)</f>
        <v>4640941000</v>
      </c>
      <c r="F87" s="967">
        <f>SUM(F89,F94,F96,F98,F100)</f>
        <v>4619643508</v>
      </c>
      <c r="G87" s="2100">
        <f>SUM(G89,G94,G96,G98,G100)</f>
        <v>4618558000</v>
      </c>
      <c r="H87" s="2101">
        <f t="shared" si="5"/>
        <v>-1085508</v>
      </c>
      <c r="I87" s="2101">
        <f>SUM(I89,I94,I96,I98,I100)</f>
        <v>0</v>
      </c>
      <c r="J87" s="2101">
        <f>SUM(J89,J94,J96,J98,J100)</f>
        <v>4618558000</v>
      </c>
      <c r="K87" s="967" t="e">
        <f>SUM(K89,K94,K96,K98,K100)</f>
        <v>#REF!</v>
      </c>
      <c r="L87" s="991">
        <f t="shared" si="6"/>
        <v>99.517705568762892</v>
      </c>
      <c r="M87" s="992"/>
      <c r="N87" s="992"/>
      <c r="O87" s="992"/>
      <c r="P87" s="992"/>
      <c r="Q87" s="992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</row>
    <row r="88" spans="1:41" s="362" customFormat="1" ht="9.9" customHeight="1">
      <c r="A88" s="2140"/>
      <c r="B88" s="2156"/>
      <c r="C88" s="2140"/>
      <c r="D88" s="360"/>
      <c r="E88" s="942"/>
      <c r="F88" s="943"/>
      <c r="G88" s="2102"/>
      <c r="H88" s="2103"/>
      <c r="I88" s="2103"/>
      <c r="J88" s="2103"/>
      <c r="K88" s="943"/>
      <c r="L88" s="991"/>
      <c r="M88" s="1001"/>
      <c r="N88" s="1001"/>
      <c r="O88" s="1001"/>
      <c r="P88" s="1001"/>
      <c r="Q88" s="1001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61"/>
      <c r="AO88" s="361"/>
    </row>
    <row r="89" spans="1:41" s="364" customFormat="1" ht="18">
      <c r="A89" s="2146">
        <v>1</v>
      </c>
      <c r="B89" s="2141" t="s">
        <v>358</v>
      </c>
      <c r="C89" s="2148" t="s">
        <v>81</v>
      </c>
      <c r="D89" s="346">
        <f>D90</f>
        <v>745360000</v>
      </c>
      <c r="E89" s="938">
        <f>E90</f>
        <v>743360000</v>
      </c>
      <c r="F89" s="938">
        <f>F90</f>
        <v>745360000</v>
      </c>
      <c r="G89" s="2097">
        <f>G90</f>
        <v>745360000</v>
      </c>
      <c r="H89" s="2097">
        <f t="shared" ref="H89:H106" si="7">G89-F89</f>
        <v>0</v>
      </c>
      <c r="I89" s="2097">
        <f>I90</f>
        <v>0</v>
      </c>
      <c r="J89" s="2097">
        <f>J90</f>
        <v>745360000</v>
      </c>
      <c r="K89" s="938" t="e">
        <f>K90</f>
        <v>#REF!</v>
      </c>
      <c r="L89" s="991">
        <f t="shared" si="6"/>
        <v>100.26904864399484</v>
      </c>
      <c r="M89" s="986"/>
      <c r="N89" s="986"/>
      <c r="O89" s="986"/>
      <c r="P89" s="986"/>
      <c r="Q89" s="986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63"/>
      <c r="AO89" s="363"/>
    </row>
    <row r="90" spans="1:41" s="364" customFormat="1" ht="18">
      <c r="A90" s="2146" t="s">
        <v>16</v>
      </c>
      <c r="B90" s="2141" t="s">
        <v>359</v>
      </c>
      <c r="C90" s="2148" t="s">
        <v>108</v>
      </c>
      <c r="D90" s="346">
        <f>'Pl 2016-20 PFC'!D94+'Pl 2016-20 PFC'!D95</f>
        <v>745360000</v>
      </c>
      <c r="E90" s="938">
        <f>'Pl 2016-20 PFC'!E94+'Pl 2016-20 PFC'!E95</f>
        <v>743360000</v>
      </c>
      <c r="F90" s="938">
        <f>'Pl 2016-20 PFC'!F94+'Pl 2016-20 PFC'!F95</f>
        <v>745360000</v>
      </c>
      <c r="G90" s="2097">
        <f>'Pl 2016-20 PFC'!G94+'Pl 2016-20 PFC'!G95</f>
        <v>745360000</v>
      </c>
      <c r="H90" s="2097">
        <f t="shared" si="7"/>
        <v>0</v>
      </c>
      <c r="I90" s="2097">
        <f>'Pl 2016-20 PFC'!H94+'Pl 2016-20 PFC'!H95</f>
        <v>0</v>
      </c>
      <c r="J90" s="2097">
        <f>'Pl 2016-20 PFC'!I94+'Pl 2016-20 PFC'!I95</f>
        <v>745360000</v>
      </c>
      <c r="K90" s="938" t="e">
        <f>'Pl 2016-20 PFC'!#REF!+'Pl 2016-20 PFC'!#REF!</f>
        <v>#REF!</v>
      </c>
      <c r="L90" s="991">
        <f t="shared" si="6"/>
        <v>100.26904864399484</v>
      </c>
      <c r="M90" s="986"/>
      <c r="N90" s="986"/>
      <c r="O90" s="986"/>
      <c r="P90" s="986"/>
      <c r="Q90" s="986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63"/>
      <c r="AO90" s="363"/>
    </row>
    <row r="91" spans="1:41" s="364" customFormat="1" ht="63.75" customHeight="1">
      <c r="A91" s="2146" t="s">
        <v>144</v>
      </c>
      <c r="B91" s="2194" t="s">
        <v>660</v>
      </c>
      <c r="C91" s="2146" t="s">
        <v>108</v>
      </c>
      <c r="D91" s="343">
        <f>'Pl 2016-20 PFC'!D94</f>
        <v>30000000</v>
      </c>
      <c r="E91" s="944">
        <f>'Pl 2016-20 PFC'!E94</f>
        <v>28000000</v>
      </c>
      <c r="F91" s="944">
        <f>'Pl 2016-20 PFC'!F94</f>
        <v>28500000</v>
      </c>
      <c r="G91" s="2104">
        <f>'Pl 2016-20 PFC'!G94</f>
        <v>28500000</v>
      </c>
      <c r="H91" s="2097">
        <f t="shared" si="7"/>
        <v>0</v>
      </c>
      <c r="I91" s="2104">
        <f>'Pl 2016-20 PFC'!H94</f>
        <v>0</v>
      </c>
      <c r="J91" s="2104">
        <f>'Pl 2016-20 PFC'!I94</f>
        <v>28500000</v>
      </c>
      <c r="K91" s="944" t="e">
        <f>'Pl 2016-20 PFC'!#REF!</f>
        <v>#REF!</v>
      </c>
      <c r="L91" s="991">
        <f t="shared" si="6"/>
        <v>101.78571428571429</v>
      </c>
      <c r="M91" s="986"/>
      <c r="N91" s="986"/>
      <c r="O91" s="986"/>
      <c r="P91" s="986"/>
      <c r="Q91" s="986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63"/>
      <c r="AO91" s="363"/>
    </row>
    <row r="92" spans="1:41" s="364" customFormat="1" ht="18">
      <c r="A92" s="2146" t="s">
        <v>147</v>
      </c>
      <c r="B92" s="2141" t="s">
        <v>661</v>
      </c>
      <c r="C92" s="2148" t="s">
        <v>108</v>
      </c>
      <c r="D92" s="346">
        <f>'Pl 2016-20 PFC'!D95</f>
        <v>715360000</v>
      </c>
      <c r="E92" s="938">
        <f>'Pl 2016-20 PFC'!E95</f>
        <v>715360000</v>
      </c>
      <c r="F92" s="938">
        <f>'Pl 2016-20 PFC'!F95</f>
        <v>716860000</v>
      </c>
      <c r="G92" s="2097">
        <f>'Pl 2016-20 PFC'!G95</f>
        <v>716860000</v>
      </c>
      <c r="H92" s="2097">
        <f t="shared" si="7"/>
        <v>0</v>
      </c>
      <c r="I92" s="2097">
        <f>'Pl 2016-20 PFC'!H95</f>
        <v>0</v>
      </c>
      <c r="J92" s="2097">
        <f>'Pl 2016-20 PFC'!I95</f>
        <v>716860000</v>
      </c>
      <c r="K92" s="938" t="e">
        <f>'Pl 2016-20 PFC'!#REF!</f>
        <v>#REF!</v>
      </c>
      <c r="L92" s="991">
        <f t="shared" si="6"/>
        <v>100.20968463430999</v>
      </c>
      <c r="M92" s="986"/>
      <c r="N92" s="986"/>
      <c r="O92" s="986"/>
      <c r="P92" s="986"/>
      <c r="Q92" s="986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63"/>
      <c r="AO92" s="363"/>
    </row>
    <row r="93" spans="1:41" s="364" customFormat="1" ht="18" hidden="1">
      <c r="A93" s="2146"/>
      <c r="B93" s="2141"/>
      <c r="C93" s="2148"/>
      <c r="D93" s="346"/>
      <c r="E93" s="938"/>
      <c r="F93" s="938"/>
      <c r="G93" s="2097"/>
      <c r="H93" s="2097">
        <f t="shared" si="7"/>
        <v>0</v>
      </c>
      <c r="I93" s="2097"/>
      <c r="J93" s="2097"/>
      <c r="K93" s="938"/>
      <c r="L93" s="991" t="e">
        <f t="shared" si="6"/>
        <v>#DIV/0!</v>
      </c>
      <c r="M93" s="986"/>
      <c r="N93" s="986"/>
      <c r="O93" s="986"/>
      <c r="P93" s="986"/>
      <c r="Q93" s="986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63"/>
      <c r="AO93" s="363"/>
    </row>
    <row r="94" spans="1:41" s="364" customFormat="1" ht="18">
      <c r="A94" s="2146">
        <v>2</v>
      </c>
      <c r="B94" s="2141" t="s">
        <v>111</v>
      </c>
      <c r="C94" s="2148" t="s">
        <v>107</v>
      </c>
      <c r="D94" s="346">
        <f>'Pl 2016-20 PFC'!D97</f>
        <v>46900000</v>
      </c>
      <c r="E94" s="938">
        <f>'Pl 2016-20 PFC'!E97</f>
        <v>46900000</v>
      </c>
      <c r="F94" s="938">
        <f>'Pl 2016-20 PFC'!F97</f>
        <v>14167000</v>
      </c>
      <c r="G94" s="2098">
        <f>'Pl 2016-20 PFC'!G97</f>
        <v>0</v>
      </c>
      <c r="H94" s="2105">
        <f t="shared" si="7"/>
        <v>-14167000</v>
      </c>
      <c r="I94" s="2105">
        <f>'Pl 2016-20 PFC'!H97</f>
        <v>0</v>
      </c>
      <c r="J94" s="2105">
        <f>'Pl 2016-20 PFC'!I97</f>
        <v>0</v>
      </c>
      <c r="K94" s="1354" t="e">
        <f>'Pl 2016-20 PFC'!#REF!</f>
        <v>#REF!</v>
      </c>
      <c r="L94" s="991">
        <f t="shared" si="6"/>
        <v>0</v>
      </c>
      <c r="M94" s="986"/>
      <c r="N94" s="986"/>
      <c r="O94" s="986"/>
      <c r="P94" s="986"/>
      <c r="Q94" s="986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63"/>
      <c r="AO94" s="363"/>
    </row>
    <row r="95" spans="1:41" s="364" customFormat="1" ht="9.9" hidden="1" customHeight="1">
      <c r="A95" s="2146"/>
      <c r="B95" s="2141"/>
      <c r="C95" s="2148"/>
      <c r="D95" s="346"/>
      <c r="E95" s="938"/>
      <c r="F95" s="938"/>
      <c r="G95" s="2097"/>
      <c r="H95" s="2097">
        <f t="shared" si="7"/>
        <v>0</v>
      </c>
      <c r="I95" s="2097"/>
      <c r="J95" s="2097"/>
      <c r="K95" s="938"/>
      <c r="L95" s="991" t="e">
        <f t="shared" si="6"/>
        <v>#DIV/0!</v>
      </c>
      <c r="M95" s="986"/>
      <c r="N95" s="986"/>
      <c r="O95" s="986"/>
      <c r="P95" s="986"/>
      <c r="Q95" s="986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7"/>
      <c r="AM95" s="307"/>
      <c r="AN95" s="363"/>
      <c r="AO95" s="363"/>
    </row>
    <row r="96" spans="1:41" s="364" customFormat="1" ht="18">
      <c r="A96" s="2146">
        <v>3</v>
      </c>
      <c r="B96" s="2141" t="s">
        <v>361</v>
      </c>
      <c r="C96" s="2148" t="s">
        <v>113</v>
      </c>
      <c r="D96" s="346">
        <f>'Pl 2016-20 PFC'!D99</f>
        <v>3622369000</v>
      </c>
      <c r="E96" s="938">
        <f>'Pl 2016-20 PFC'!E99</f>
        <v>3620789000</v>
      </c>
      <c r="F96" s="938">
        <f>'Pl 2016-20 PFC'!F99</f>
        <v>3648380374</v>
      </c>
      <c r="G96" s="2097">
        <f>'Pl 2016-20 PFC'!G99</f>
        <v>3648380000</v>
      </c>
      <c r="H96" s="2097">
        <f t="shared" si="7"/>
        <v>-374</v>
      </c>
      <c r="I96" s="2097">
        <f>'Pl 2016-20 PFC'!H99</f>
        <v>0</v>
      </c>
      <c r="J96" s="2097">
        <f>'Pl 2016-20 PFC'!I99</f>
        <v>3648380000</v>
      </c>
      <c r="K96" s="938" t="e">
        <f>'Pl 2016-20 PFC'!#REF!</f>
        <v>#REF!</v>
      </c>
      <c r="L96" s="991">
        <f t="shared" si="6"/>
        <v>100.76201623458313</v>
      </c>
      <c r="M96" s="986"/>
      <c r="N96" s="986"/>
      <c r="O96" s="986"/>
      <c r="P96" s="986"/>
      <c r="Q96" s="986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7"/>
      <c r="AM96" s="307"/>
      <c r="AN96" s="363"/>
      <c r="AO96" s="363"/>
    </row>
    <row r="97" spans="1:41" s="364" customFormat="1" ht="9.9" hidden="1" customHeight="1">
      <c r="A97" s="2146"/>
      <c r="B97" s="2141"/>
      <c r="C97" s="2148"/>
      <c r="D97" s="346"/>
      <c r="E97" s="938"/>
      <c r="F97" s="938"/>
      <c r="G97" s="2097"/>
      <c r="H97" s="2097">
        <f t="shared" si="7"/>
        <v>0</v>
      </c>
      <c r="I97" s="2097"/>
      <c r="J97" s="2097"/>
      <c r="K97" s="938"/>
      <c r="L97" s="991" t="e">
        <f t="shared" si="6"/>
        <v>#DIV/0!</v>
      </c>
      <c r="M97" s="986"/>
      <c r="N97" s="986"/>
      <c r="O97" s="986"/>
      <c r="P97" s="986"/>
      <c r="Q97" s="986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63"/>
      <c r="AO97" s="363"/>
    </row>
    <row r="98" spans="1:41" ht="18">
      <c r="A98" s="2146">
        <v>4</v>
      </c>
      <c r="B98" s="2141" t="s">
        <v>362</v>
      </c>
      <c r="C98" s="2148" t="s">
        <v>115</v>
      </c>
      <c r="D98" s="346">
        <f>'Pl 2016-20 PFC'!D101</f>
        <v>1331000</v>
      </c>
      <c r="E98" s="938">
        <f>'Pl 2016-20 PFC'!E101</f>
        <v>2104000</v>
      </c>
      <c r="F98" s="938">
        <f>'Pl 2016-20 PFC'!F101</f>
        <v>2155000</v>
      </c>
      <c r="G98" s="2097">
        <f>'Pl 2016-20 PFC'!G101</f>
        <v>2155000</v>
      </c>
      <c r="H98" s="2097">
        <f t="shared" si="7"/>
        <v>0</v>
      </c>
      <c r="I98" s="2097">
        <f>'Pl 2016-20 PFC'!H101</f>
        <v>0</v>
      </c>
      <c r="J98" s="2097">
        <f>'Pl 2016-20 PFC'!I101</f>
        <v>2155000</v>
      </c>
      <c r="K98" s="938" t="e">
        <f>'Pl 2016-20 PFC'!#REF!</f>
        <v>#REF!</v>
      </c>
      <c r="L98" s="991">
        <f t="shared" si="6"/>
        <v>102.42395437262357</v>
      </c>
      <c r="M98" s="986"/>
      <c r="N98" s="986"/>
      <c r="O98" s="986"/>
      <c r="P98" s="986"/>
      <c r="Q98" s="986"/>
    </row>
    <row r="99" spans="1:41" ht="9.9" hidden="1" customHeight="1">
      <c r="A99" s="2146"/>
      <c r="B99" s="2141"/>
      <c r="C99" s="2148"/>
      <c r="D99" s="346"/>
      <c r="E99" s="938"/>
      <c r="F99" s="938"/>
      <c r="G99" s="2097"/>
      <c r="H99" s="2097">
        <f t="shared" si="7"/>
        <v>0</v>
      </c>
      <c r="I99" s="2097"/>
      <c r="J99" s="2097"/>
      <c r="K99" s="938"/>
      <c r="L99" s="991" t="e">
        <f t="shared" si="6"/>
        <v>#DIV/0!</v>
      </c>
      <c r="M99" s="986"/>
      <c r="N99" s="986"/>
      <c r="O99" s="986"/>
      <c r="P99" s="986"/>
      <c r="Q99" s="986"/>
    </row>
    <row r="100" spans="1:41" ht="18">
      <c r="A100" s="2146">
        <v>5</v>
      </c>
      <c r="B100" s="2141" t="s">
        <v>363</v>
      </c>
      <c r="C100" s="2148" t="s">
        <v>81</v>
      </c>
      <c r="D100" s="346">
        <f>'Pl 2016-20 PFC'!D103</f>
        <v>168759000</v>
      </c>
      <c r="E100" s="938">
        <f>'Pl 2016-20 PFC'!E103</f>
        <v>227788000</v>
      </c>
      <c r="F100" s="938">
        <f>'Pl 2016-20 PFC'!F103</f>
        <v>209581134</v>
      </c>
      <c r="G100" s="2097">
        <f>'Pl 2016-20 PFC'!G103</f>
        <v>222663000</v>
      </c>
      <c r="H100" s="2097">
        <f t="shared" si="7"/>
        <v>13081866</v>
      </c>
      <c r="I100" s="2097">
        <f>'Pl 2016-20 PFC'!H103</f>
        <v>0</v>
      </c>
      <c r="J100" s="2097">
        <f>'Pl 2016-20 PFC'!I103</f>
        <v>222663000</v>
      </c>
      <c r="K100" s="938" t="e">
        <f>'Pl 2016-20 PFC'!#REF!</f>
        <v>#REF!</v>
      </c>
      <c r="L100" s="991">
        <f t="shared" si="6"/>
        <v>97.750100971078368</v>
      </c>
      <c r="M100" s="986"/>
      <c r="N100" s="986"/>
      <c r="O100" s="986"/>
      <c r="P100" s="986"/>
      <c r="Q100" s="986"/>
    </row>
    <row r="101" spans="1:41" s="366" customFormat="1" ht="18" hidden="1">
      <c r="A101" s="2146" t="s">
        <v>27</v>
      </c>
      <c r="B101" s="2141" t="s">
        <v>118</v>
      </c>
      <c r="C101" s="2148" t="s">
        <v>119</v>
      </c>
      <c r="D101" s="346">
        <f>'Pl 2016-20 PFC'!D104</f>
        <v>35000</v>
      </c>
      <c r="E101" s="938">
        <f>'Pl 2016-20 PFC'!E104</f>
        <v>30000</v>
      </c>
      <c r="F101" s="938">
        <f>'Pl 2016-20 PFC'!F104</f>
        <v>35000</v>
      </c>
      <c r="G101" s="2097">
        <f>'Pl 2016-20 PFC'!G104</f>
        <v>35000</v>
      </c>
      <c r="H101" s="2097">
        <f t="shared" si="7"/>
        <v>0</v>
      </c>
      <c r="I101" s="2097">
        <f>'Pl 2016-20 PFC'!H104</f>
        <v>0</v>
      </c>
      <c r="J101" s="2097">
        <f>'Pl 2016-20 PFC'!I104</f>
        <v>35000</v>
      </c>
      <c r="K101" s="938" t="e">
        <f>'Pl 2016-20 PFC'!#REF!</f>
        <v>#REF!</v>
      </c>
      <c r="L101" s="991">
        <f t="shared" si="6"/>
        <v>116.66666666666667</v>
      </c>
      <c r="M101" s="1002"/>
      <c r="N101" s="1002"/>
      <c r="O101" s="1002"/>
      <c r="P101" s="1002"/>
      <c r="Q101" s="1002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65"/>
      <c r="AG101" s="365"/>
      <c r="AH101" s="365"/>
      <c r="AI101" s="365"/>
      <c r="AJ101" s="365"/>
      <c r="AK101" s="365"/>
      <c r="AL101" s="365"/>
      <c r="AM101" s="365"/>
    </row>
    <row r="102" spans="1:41" s="366" customFormat="1" ht="18" hidden="1">
      <c r="A102" s="2146"/>
      <c r="B102" s="2141"/>
      <c r="C102" s="2148"/>
      <c r="D102" s="377"/>
      <c r="E102" s="939"/>
      <c r="F102" s="939"/>
      <c r="G102" s="2097">
        <f>'Pl 2016-20 PFC'!G105</f>
        <v>0</v>
      </c>
      <c r="H102" s="2097">
        <f>G102-F102</f>
        <v>0</v>
      </c>
      <c r="I102" s="2097">
        <f>'Pl 2016-20 PFC'!H105</f>
        <v>0</v>
      </c>
      <c r="J102" s="2097">
        <f>'Pl 2016-20 PFC'!I105</f>
        <v>0</v>
      </c>
      <c r="K102" s="939"/>
      <c r="L102" s="2028"/>
      <c r="M102" s="1002"/>
      <c r="N102" s="1002"/>
      <c r="O102" s="1002"/>
      <c r="P102" s="1002"/>
      <c r="Q102" s="1002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5"/>
    </row>
    <row r="103" spans="1:41" s="366" customFormat="1" ht="18" hidden="1">
      <c r="A103" s="2146"/>
      <c r="B103" s="2141"/>
      <c r="C103" s="2148"/>
      <c r="D103" s="377"/>
      <c r="E103" s="939"/>
      <c r="F103" s="939"/>
      <c r="G103" s="2097">
        <f>'Pl 2016-20 PFC'!G106</f>
        <v>0</v>
      </c>
      <c r="H103" s="2097">
        <f>G103-F103</f>
        <v>0</v>
      </c>
      <c r="I103" s="2097">
        <f>'Pl 2016-20 PFC'!H106</f>
        <v>0</v>
      </c>
      <c r="J103" s="2097">
        <f>'Pl 2016-20 PFC'!I106</f>
        <v>0</v>
      </c>
      <c r="K103" s="939"/>
      <c r="L103" s="2028"/>
      <c r="M103" s="1002"/>
      <c r="N103" s="1002"/>
      <c r="O103" s="1002"/>
      <c r="P103" s="1002"/>
      <c r="Q103" s="1002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5"/>
    </row>
    <row r="104" spans="1:41" s="366" customFormat="1" ht="18" hidden="1">
      <c r="A104" s="2146" t="s">
        <v>28</v>
      </c>
      <c r="B104" s="2141" t="s">
        <v>120</v>
      </c>
      <c r="C104" s="2148" t="s">
        <v>121</v>
      </c>
      <c r="D104" s="346">
        <f>'Pl 2016-20 PFC'!D107</f>
        <v>80000</v>
      </c>
      <c r="E104" s="938">
        <f>'Pl 2016-20 PFC'!E107</f>
        <v>125000</v>
      </c>
      <c r="F104" s="938">
        <f>'Pl 2016-20 PFC'!F107</f>
        <v>65000</v>
      </c>
      <c r="G104" s="2097">
        <f>'Pl 2016-20 PFC'!G107</f>
        <v>65000</v>
      </c>
      <c r="H104" s="2097">
        <f t="shared" si="7"/>
        <v>0</v>
      </c>
      <c r="I104" s="2097">
        <f>'Pl 2016-20 PFC'!H107</f>
        <v>0</v>
      </c>
      <c r="J104" s="2097">
        <f>'Pl 2016-20 PFC'!I107</f>
        <v>65000</v>
      </c>
      <c r="K104" s="938" t="e">
        <f>'Pl 2016-20 PFC'!#REF!</f>
        <v>#REF!</v>
      </c>
      <c r="L104" s="991">
        <f t="shared" si="6"/>
        <v>52</v>
      </c>
      <c r="M104" s="1002"/>
      <c r="N104" s="1002"/>
      <c r="O104" s="1002"/>
      <c r="P104" s="1002"/>
      <c r="Q104" s="1002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5"/>
      <c r="AE104" s="365"/>
      <c r="AF104" s="365"/>
      <c r="AG104" s="365"/>
      <c r="AH104" s="365"/>
      <c r="AI104" s="365"/>
      <c r="AJ104" s="365"/>
      <c r="AK104" s="365"/>
      <c r="AL104" s="365"/>
      <c r="AM104" s="365"/>
    </row>
    <row r="105" spans="1:41" s="366" customFormat="1" ht="18" hidden="1">
      <c r="A105" s="2146" t="s">
        <v>122</v>
      </c>
      <c r="B105" s="2141" t="s">
        <v>123</v>
      </c>
      <c r="C105" s="2148" t="s">
        <v>124</v>
      </c>
      <c r="D105" s="346">
        <f>'Pl 2016-20 PFC'!D108</f>
        <v>35000000</v>
      </c>
      <c r="E105" s="938">
        <f>'Pl 2016-20 PFC'!E108</f>
        <v>20000000</v>
      </c>
      <c r="F105" s="938">
        <f>'Pl 2016-20 PFC'!F108</f>
        <v>20000000</v>
      </c>
      <c r="G105" s="2097">
        <f>'Pl 2016-20 PFC'!G108</f>
        <v>20000000</v>
      </c>
      <c r="H105" s="2097">
        <f t="shared" si="7"/>
        <v>0</v>
      </c>
      <c r="I105" s="2097">
        <f>'Pl 2016-20 PFC'!H108</f>
        <v>0</v>
      </c>
      <c r="J105" s="2097">
        <f>'Pl 2016-20 PFC'!I108</f>
        <v>20000000</v>
      </c>
      <c r="K105" s="938" t="e">
        <f>'Pl 2016-20 PFC'!#REF!</f>
        <v>#REF!</v>
      </c>
      <c r="L105" s="991">
        <f t="shared" si="6"/>
        <v>100</v>
      </c>
      <c r="M105" s="1002"/>
      <c r="N105" s="1002"/>
      <c r="O105" s="1002"/>
      <c r="P105" s="1002"/>
      <c r="Q105" s="1002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F105" s="365"/>
      <c r="AG105" s="365"/>
      <c r="AH105" s="365"/>
      <c r="AI105" s="365"/>
      <c r="AJ105" s="365"/>
      <c r="AK105" s="365"/>
      <c r="AL105" s="365"/>
      <c r="AM105" s="365"/>
    </row>
    <row r="106" spans="1:41" s="366" customFormat="1" ht="18">
      <c r="A106" s="2146" t="s">
        <v>27</v>
      </c>
      <c r="B106" s="2141" t="s">
        <v>364</v>
      </c>
      <c r="C106" s="2148" t="s">
        <v>127</v>
      </c>
      <c r="D106" s="346">
        <f>'Pl 2016-20 PFC'!D109</f>
        <v>16785000</v>
      </c>
      <c r="E106" s="938">
        <f>'Pl 2016-20 PFC'!E109</f>
        <v>62781000</v>
      </c>
      <c r="F106" s="938">
        <f>'Pl 2016-20 PFC'!F109</f>
        <v>49198250</v>
      </c>
      <c r="G106" s="2097">
        <f>'Pl 2016-20 PFC'!G109</f>
        <v>52280000</v>
      </c>
      <c r="H106" s="2097">
        <f t="shared" si="7"/>
        <v>3081750</v>
      </c>
      <c r="I106" s="2097">
        <f>'Pl 2016-20 PFC'!H109</f>
        <v>0</v>
      </c>
      <c r="J106" s="2097">
        <f>'Pl 2016-20 PFC'!I109</f>
        <v>52280000</v>
      </c>
      <c r="K106" s="938" t="e">
        <f>'Pl 2016-20 PFC'!#REF!</f>
        <v>#REF!</v>
      </c>
      <c r="L106" s="991">
        <f t="shared" si="6"/>
        <v>83.273601885920897</v>
      </c>
      <c r="M106" s="1002"/>
      <c r="N106" s="1002"/>
      <c r="O106" s="1002"/>
      <c r="P106" s="1002"/>
      <c r="Q106" s="1002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365"/>
    </row>
    <row r="107" spans="1:41" s="366" customFormat="1" ht="18" hidden="1">
      <c r="A107" s="2152" t="s">
        <v>128</v>
      </c>
      <c r="B107" s="2175" t="s">
        <v>129</v>
      </c>
      <c r="C107" s="2152" t="s">
        <v>130</v>
      </c>
      <c r="D107" s="367"/>
      <c r="E107" s="945">
        <f>'Pl 2016-20 PFC'!E110</f>
        <v>0</v>
      </c>
      <c r="F107" s="945">
        <f>'Pl 2016-20 PFC'!F110</f>
        <v>0</v>
      </c>
      <c r="G107" s="2086">
        <f>'Pl 2016-20 PFC'!G110</f>
        <v>0</v>
      </c>
      <c r="H107" s="2087"/>
      <c r="I107" s="2087">
        <f>'Pl 2016-20 PFC'!H110</f>
        <v>0</v>
      </c>
      <c r="J107" s="2087">
        <f>'Pl 2016-20 PFC'!I110</f>
        <v>0</v>
      </c>
      <c r="K107" s="945" t="e">
        <f>'Pl 2016-20 PFC'!#REF!</f>
        <v>#REF!</v>
      </c>
      <c r="L107" s="991" t="e">
        <f t="shared" si="6"/>
        <v>#DIV/0!</v>
      </c>
      <c r="M107" s="1002"/>
      <c r="N107" s="1002"/>
      <c r="O107" s="1002"/>
      <c r="P107" s="1002"/>
      <c r="Q107" s="1002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</row>
    <row r="108" spans="1:41" s="366" customFormat="1" ht="18" hidden="1">
      <c r="A108" s="2152" t="s">
        <v>128</v>
      </c>
      <c r="B108" s="2175" t="s">
        <v>132</v>
      </c>
      <c r="C108" s="2152" t="s">
        <v>133</v>
      </c>
      <c r="D108" s="367"/>
      <c r="E108" s="945">
        <f>'Pl 2016-20 PFC'!E111</f>
        <v>139409000</v>
      </c>
      <c r="F108" s="945">
        <f>'Pl 2016-20 PFC'!F111</f>
        <v>133123600</v>
      </c>
      <c r="G108" s="2086">
        <f>'Pl 2016-20 PFC'!G111</f>
        <v>143124000</v>
      </c>
      <c r="H108" s="2087"/>
      <c r="I108" s="2087">
        <f>'Pl 2016-20 PFC'!H111</f>
        <v>0</v>
      </c>
      <c r="J108" s="2087">
        <f>'Pl 2016-20 PFC'!I111</f>
        <v>143124000</v>
      </c>
      <c r="K108" s="945" t="e">
        <f>'Pl 2016-20 PFC'!#REF!</f>
        <v>#REF!</v>
      </c>
      <c r="L108" s="991">
        <f t="shared" si="6"/>
        <v>102.66482077914625</v>
      </c>
      <c r="M108" s="1002"/>
      <c r="N108" s="1002"/>
      <c r="O108" s="1002"/>
      <c r="P108" s="1002"/>
      <c r="Q108" s="1002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5"/>
      <c r="AL108" s="365"/>
      <c r="AM108" s="365"/>
    </row>
    <row r="109" spans="1:41" s="366" customFormat="1" ht="18" hidden="1">
      <c r="A109" s="2152" t="s">
        <v>131</v>
      </c>
      <c r="B109" s="2175" t="s">
        <v>135</v>
      </c>
      <c r="C109" s="2152" t="s">
        <v>365</v>
      </c>
      <c r="D109" s="367"/>
      <c r="E109" s="945">
        <f>'Pl 2016-20 PFC'!E112</f>
        <v>5443000</v>
      </c>
      <c r="F109" s="945">
        <f>'Pl 2016-20 PFC'!F112</f>
        <v>7159284</v>
      </c>
      <c r="G109" s="2086">
        <f>'Pl 2016-20 PFC'!G112</f>
        <v>7159000</v>
      </c>
      <c r="H109" s="2087"/>
      <c r="I109" s="2087">
        <f>'Pl 2016-20 PFC'!H112</f>
        <v>0</v>
      </c>
      <c r="J109" s="2087">
        <f>'Pl 2016-20 PFC'!I112</f>
        <v>7159000</v>
      </c>
      <c r="K109" s="945" t="e">
        <f>'Pl 2016-20 PFC'!#REF!</f>
        <v>#REF!</v>
      </c>
      <c r="L109" s="991">
        <f t="shared" si="6"/>
        <v>131.52673158184825</v>
      </c>
      <c r="M109" s="1002"/>
      <c r="N109" s="1002"/>
      <c r="O109" s="1002"/>
      <c r="P109" s="1002"/>
      <c r="Q109" s="1002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65"/>
      <c r="AF109" s="365"/>
      <c r="AG109" s="365"/>
      <c r="AH109" s="365"/>
      <c r="AI109" s="365"/>
      <c r="AJ109" s="365"/>
      <c r="AK109" s="365"/>
      <c r="AL109" s="365"/>
      <c r="AM109" s="365"/>
    </row>
    <row r="110" spans="1:41" s="366" customFormat="1" ht="18" hidden="1">
      <c r="A110" s="2152" t="s">
        <v>134</v>
      </c>
      <c r="B110" s="2175" t="s">
        <v>138</v>
      </c>
      <c r="C110" s="2152" t="s">
        <v>139</v>
      </c>
      <c r="D110" s="367"/>
      <c r="E110" s="945">
        <f>'Pl 2016-20 PFC'!E116</f>
        <v>0</v>
      </c>
      <c r="F110" s="945">
        <f>'Pl 2016-20 PFC'!F116</f>
        <v>0</v>
      </c>
      <c r="G110" s="2086">
        <f>'Pl 2016-20 PFC'!G116</f>
        <v>0</v>
      </c>
      <c r="H110" s="2087"/>
      <c r="I110" s="2087">
        <f>'Pl 2016-20 PFC'!H116</f>
        <v>0</v>
      </c>
      <c r="J110" s="2087">
        <f>'Pl 2016-20 PFC'!I116</f>
        <v>0</v>
      </c>
      <c r="K110" s="945" t="e">
        <f>'Pl 2016-20 PFC'!#REF!</f>
        <v>#REF!</v>
      </c>
      <c r="L110" s="991" t="e">
        <f t="shared" si="6"/>
        <v>#DIV/0!</v>
      </c>
      <c r="M110" s="1002"/>
      <c r="N110" s="1002"/>
      <c r="O110" s="1002"/>
      <c r="P110" s="1002"/>
      <c r="Q110" s="1002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5"/>
      <c r="AL110" s="365"/>
      <c r="AM110" s="365"/>
    </row>
    <row r="111" spans="1:41" s="351" customFormat="1" ht="18">
      <c r="A111" s="2170"/>
      <c r="B111" s="2176"/>
      <c r="C111" s="2170"/>
      <c r="D111" s="359"/>
      <c r="E111" s="940"/>
      <c r="F111" s="940"/>
      <c r="G111" s="2099"/>
      <c r="H111" s="2106"/>
      <c r="I111" s="2106"/>
      <c r="J111" s="2106"/>
      <c r="K111" s="940"/>
      <c r="L111" s="991"/>
      <c r="M111" s="1001"/>
      <c r="N111" s="1001"/>
      <c r="O111" s="1001"/>
      <c r="P111" s="1001"/>
      <c r="Q111" s="1001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</row>
    <row r="112" spans="1:41" s="336" customFormat="1" ht="15" customHeight="1">
      <c r="A112" s="2172" t="s">
        <v>643</v>
      </c>
      <c r="B112" s="2177" t="s">
        <v>366</v>
      </c>
      <c r="C112" s="2178" t="s">
        <v>81</v>
      </c>
      <c r="D112" s="963">
        <f>SUM(D114,D176,D195,D218,D269,D311,D321)</f>
        <v>4778362000</v>
      </c>
      <c r="E112" s="964">
        <f>SUM(E114,E176,E195,E218,E269,E311,E321)</f>
        <v>4723723000</v>
      </c>
      <c r="F112" s="965">
        <f>SUM(F114,F176,F195,F218,F269,F311,F321)</f>
        <v>5043693226</v>
      </c>
      <c r="G112" s="2107">
        <f>SUM(G114,G176,G195,G218,G269,G311,G321)</f>
        <v>4842786000</v>
      </c>
      <c r="H112" s="2108">
        <f>G112-F112</f>
        <v>-200907226</v>
      </c>
      <c r="I112" s="2108">
        <f>SUM(I114,I176,I195,I218,I269,I311,I321)</f>
        <v>0</v>
      </c>
      <c r="J112" s="2108">
        <f>SUM(J114,J176,J195,J218,J269,J311,J321)</f>
        <v>4842786000</v>
      </c>
      <c r="K112" s="965" t="e">
        <f>SUM(K114,K176,K195,K218,K269,K311,K321)</f>
        <v>#REF!</v>
      </c>
      <c r="L112" s="991">
        <f t="shared" si="6"/>
        <v>102.52053306258644</v>
      </c>
      <c r="M112" s="992"/>
      <c r="N112" s="992"/>
      <c r="O112" s="992"/>
      <c r="P112" s="992"/>
      <c r="Q112" s="992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AD112" s="334"/>
      <c r="AE112" s="334"/>
      <c r="AF112" s="334"/>
      <c r="AG112" s="334"/>
      <c r="AH112" s="334"/>
      <c r="AI112" s="334"/>
      <c r="AJ112" s="334"/>
      <c r="AK112" s="334"/>
      <c r="AL112" s="334"/>
      <c r="AM112" s="334"/>
      <c r="AN112" s="334"/>
      <c r="AO112" s="334"/>
    </row>
    <row r="113" spans="1:41" s="352" customFormat="1" ht="12.75" customHeight="1">
      <c r="A113" s="2152"/>
      <c r="B113" s="2179"/>
      <c r="C113" s="2180"/>
      <c r="D113" s="368"/>
      <c r="E113" s="946"/>
      <c r="F113" s="946"/>
      <c r="G113" s="2088"/>
      <c r="H113" s="2109"/>
      <c r="I113" s="2109"/>
      <c r="J113" s="2109"/>
      <c r="K113" s="946"/>
      <c r="L113" s="991"/>
      <c r="M113" s="1001"/>
      <c r="N113" s="1001"/>
      <c r="O113" s="1001"/>
      <c r="P113" s="1001"/>
      <c r="Q113" s="1001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1"/>
      <c r="AO113" s="351"/>
    </row>
    <row r="114" spans="1:41" ht="18">
      <c r="A114" s="2146">
        <v>1</v>
      </c>
      <c r="B114" s="2141" t="s">
        <v>142</v>
      </c>
      <c r="C114" s="2148" t="s">
        <v>81</v>
      </c>
      <c r="D114" s="346">
        <f>SUM(D115,D146)</f>
        <v>3415986000</v>
      </c>
      <c r="E114" s="938">
        <f>SUM(E115,E146)</f>
        <v>3407669000</v>
      </c>
      <c r="F114" s="938">
        <f>SUM(F115,F146)</f>
        <v>3577080000</v>
      </c>
      <c r="G114" s="2097">
        <f>SUM(G115,G146)</f>
        <v>3426904000</v>
      </c>
      <c r="H114" s="2097">
        <f t="shared" ref="H114:H179" si="8">G114-F114</f>
        <v>-150176000</v>
      </c>
      <c r="I114" s="2097">
        <f>SUM(I115,I146)</f>
        <v>0</v>
      </c>
      <c r="J114" s="2097">
        <f>SUM(J115,J146)</f>
        <v>3426904000</v>
      </c>
      <c r="K114" s="938" t="e">
        <f>SUM(K115,K146)</f>
        <v>#REF!</v>
      </c>
      <c r="L114" s="991">
        <f t="shared" si="6"/>
        <v>100.56446210004552</v>
      </c>
      <c r="M114" s="986"/>
      <c r="N114" s="986"/>
      <c r="O114" s="986"/>
      <c r="P114" s="986"/>
      <c r="Q114" s="986"/>
    </row>
    <row r="115" spans="1:41" s="342" customFormat="1" ht="15.75" hidden="1" customHeight="1">
      <c r="A115" s="2146" t="s">
        <v>16</v>
      </c>
      <c r="B115" s="2141" t="s">
        <v>367</v>
      </c>
      <c r="C115" s="2148" t="s">
        <v>81</v>
      </c>
      <c r="D115" s="346">
        <f>SUM(D116:D117)</f>
        <v>151853000</v>
      </c>
      <c r="E115" s="938">
        <f>SUM(E116:E117)</f>
        <v>144536000</v>
      </c>
      <c r="F115" s="938">
        <f>SUM(F116:F117)</f>
        <v>159140000</v>
      </c>
      <c r="G115" s="2097">
        <f>SUM(G116:G117)</f>
        <v>121001000</v>
      </c>
      <c r="H115" s="2097">
        <f t="shared" si="8"/>
        <v>-38139000</v>
      </c>
      <c r="I115" s="2097">
        <f>SUM(I116:I117)</f>
        <v>0</v>
      </c>
      <c r="J115" s="2097">
        <f>SUM(J116:J117)</f>
        <v>121001000</v>
      </c>
      <c r="K115" s="938" t="e">
        <f>SUM(K116:K117)</f>
        <v>#REF!</v>
      </c>
      <c r="L115" s="991">
        <f t="shared" si="6"/>
        <v>83.716859467537503</v>
      </c>
      <c r="M115" s="994"/>
      <c r="N115" s="994"/>
      <c r="O115" s="994"/>
      <c r="P115" s="994"/>
      <c r="Q115" s="994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41"/>
      <c r="AO115" s="341"/>
    </row>
    <row r="116" spans="1:41" s="342" customFormat="1" ht="15.75" hidden="1" customHeight="1">
      <c r="A116" s="2146" t="s">
        <v>144</v>
      </c>
      <c r="B116" s="2141" t="s">
        <v>368</v>
      </c>
      <c r="C116" s="2148" t="s">
        <v>146</v>
      </c>
      <c r="D116" s="346">
        <f>SUM(D119:D123)</f>
        <v>144653000</v>
      </c>
      <c r="E116" s="938">
        <f>SUM(E119:E123)</f>
        <v>139545000</v>
      </c>
      <c r="F116" s="938">
        <f>SUM(F119:F123)</f>
        <v>159140000</v>
      </c>
      <c r="G116" s="2097">
        <f>SUM(G119:G123)</f>
        <v>121001000</v>
      </c>
      <c r="H116" s="2097">
        <f t="shared" si="8"/>
        <v>-38139000</v>
      </c>
      <c r="I116" s="2097">
        <f>SUM(I119:I123)</f>
        <v>0</v>
      </c>
      <c r="J116" s="2097">
        <f>SUM(J119:J123)</f>
        <v>121001000</v>
      </c>
      <c r="K116" s="938" t="e">
        <f>SUM(K119:K123)</f>
        <v>#REF!</v>
      </c>
      <c r="L116" s="991">
        <f t="shared" si="6"/>
        <v>86.711096778816867</v>
      </c>
      <c r="M116" s="995"/>
      <c r="N116" s="994"/>
      <c r="O116" s="994"/>
      <c r="P116" s="994"/>
      <c r="Q116" s="994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41"/>
      <c r="AO116" s="341"/>
    </row>
    <row r="117" spans="1:41" s="342" customFormat="1" ht="15.75" hidden="1" customHeight="1">
      <c r="A117" s="2146" t="s">
        <v>147</v>
      </c>
      <c r="B117" s="2141" t="s">
        <v>369</v>
      </c>
      <c r="C117" s="2148" t="s">
        <v>149</v>
      </c>
      <c r="D117" s="346">
        <f>SUM(D118)</f>
        <v>7200000</v>
      </c>
      <c r="E117" s="938">
        <f>SUM(E118)</f>
        <v>4991000</v>
      </c>
      <c r="F117" s="938">
        <f>SUM(F118)</f>
        <v>0</v>
      </c>
      <c r="G117" s="2098">
        <f>SUM(G118)</f>
        <v>0</v>
      </c>
      <c r="H117" s="2105">
        <f t="shared" si="8"/>
        <v>0</v>
      </c>
      <c r="I117" s="2105">
        <f>SUM(I118)</f>
        <v>0</v>
      </c>
      <c r="J117" s="2105">
        <f>SUM(J118)</f>
        <v>0</v>
      </c>
      <c r="K117" s="1354" t="e">
        <f>SUM(K118)</f>
        <v>#REF!</v>
      </c>
      <c r="L117" s="991">
        <f t="shared" si="6"/>
        <v>0</v>
      </c>
      <c r="M117" s="994"/>
      <c r="N117" s="994"/>
      <c r="O117" s="994"/>
      <c r="P117" s="994"/>
      <c r="Q117" s="994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41"/>
      <c r="AO117" s="341"/>
    </row>
    <row r="118" spans="1:41" s="342" customFormat="1" ht="15.75" hidden="1" customHeight="1">
      <c r="A118" s="2146"/>
      <c r="B118" s="2141" t="s">
        <v>370</v>
      </c>
      <c r="C118" s="2148" t="s">
        <v>149</v>
      </c>
      <c r="D118" s="346">
        <f>IF(('Pl 2016-20 PFC'!D124)=0,"0",'Pl 2016-20 PFC'!D124)</f>
        <v>7200000</v>
      </c>
      <c r="E118" s="938">
        <f>IF(('Pl 2016-20 PFC'!E124)=0,"0",'Pl 2016-20 PFC'!E124)</f>
        <v>4991000</v>
      </c>
      <c r="F118" s="938" t="str">
        <f>IF(('Pl 2016-20 PFC'!F124)=0,"0",'Pl 2016-20 PFC'!F124)</f>
        <v>0</v>
      </c>
      <c r="G118" s="2097" t="str">
        <f>IF(('Pl 2016-20 PFC'!G124)=0,"0",'Pl 2016-20 PFC'!G124)</f>
        <v>0</v>
      </c>
      <c r="H118" s="2097">
        <f t="shared" si="8"/>
        <v>0</v>
      </c>
      <c r="I118" s="2097" t="str">
        <f>IF(('Pl 2016-20 PFC'!H124)=0,"0",'Pl 2016-20 PFC'!H124)</f>
        <v>0</v>
      </c>
      <c r="J118" s="2097" t="str">
        <f>IF(('Pl 2016-20 PFC'!I124)=0,"0",'Pl 2016-20 PFC'!I124)</f>
        <v>0</v>
      </c>
      <c r="K118" s="938" t="e">
        <f>IF(('Pl 2016-20 PFC'!#REF!)=0,"0",'Pl 2016-20 PFC'!#REF!)</f>
        <v>#REF!</v>
      </c>
      <c r="L118" s="991">
        <f t="shared" si="6"/>
        <v>0</v>
      </c>
      <c r="M118" s="994"/>
      <c r="N118" s="994"/>
      <c r="O118" s="994"/>
      <c r="P118" s="994"/>
      <c r="Q118" s="994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41"/>
      <c r="AO118" s="341"/>
    </row>
    <row r="119" spans="1:41" s="342" customFormat="1" ht="15.75" hidden="1" customHeight="1">
      <c r="A119" s="2146"/>
      <c r="B119" s="2141" t="s">
        <v>371</v>
      </c>
      <c r="C119" s="2148" t="s">
        <v>146</v>
      </c>
      <c r="D119" s="346">
        <f>IF(('Pl 2016-20 PFC'!D125)=0,"0",'Pl 2016-20 PFC'!D125)</f>
        <v>184000</v>
      </c>
      <c r="E119" s="938">
        <f>IF(('Pl 2016-20 PFC'!E125)=0,"0",'Pl 2016-20 PFC'!E125)</f>
        <v>184000</v>
      </c>
      <c r="F119" s="938">
        <f>IF(('Pl 2016-20 PFC'!F125)=0,"0",'Pl 2016-20 PFC'!F125)</f>
        <v>4500000</v>
      </c>
      <c r="G119" s="2097">
        <f>IF(('Pl 2016-20 PFC'!G125)=0,"0",'Pl 2016-20 PFC'!G125)</f>
        <v>2500000</v>
      </c>
      <c r="H119" s="2097">
        <f t="shared" si="8"/>
        <v>-2000000</v>
      </c>
      <c r="I119" s="2097" t="str">
        <f>IF(('Pl 2016-20 PFC'!H125)=0,"0",'Pl 2016-20 PFC'!H125)</f>
        <v>0</v>
      </c>
      <c r="J119" s="2097">
        <f>IF(('Pl 2016-20 PFC'!I125)=0,"0",'Pl 2016-20 PFC'!I125)</f>
        <v>2500000</v>
      </c>
      <c r="K119" s="938" t="e">
        <f>IF(('Pl 2016-20 PFC'!#REF!)=0,"0",'Pl 2016-20 PFC'!#REF!)</f>
        <v>#REF!</v>
      </c>
      <c r="L119" s="991">
        <f t="shared" si="6"/>
        <v>1358.695652173913</v>
      </c>
      <c r="M119" s="994"/>
      <c r="N119" s="994"/>
      <c r="O119" s="994"/>
      <c r="P119" s="994"/>
      <c r="Q119" s="994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39"/>
      <c r="AK119" s="339"/>
      <c r="AL119" s="339"/>
      <c r="AM119" s="339"/>
      <c r="AN119" s="341"/>
      <c r="AO119" s="341"/>
    </row>
    <row r="120" spans="1:41" s="342" customFormat="1" ht="15.75" hidden="1" customHeight="1">
      <c r="A120" s="2146"/>
      <c r="B120" s="2141" t="s">
        <v>372</v>
      </c>
      <c r="C120" s="2148" t="s">
        <v>146</v>
      </c>
      <c r="D120" s="346">
        <f>IF(('Pl 2016-20 PFC'!D126)=0,"",'Pl 2016-20 PFC'!D126)</f>
        <v>60000000</v>
      </c>
      <c r="E120" s="938">
        <f>IF(('Pl 2016-20 PFC'!E126)=0,"",'Pl 2016-20 PFC'!E126)</f>
        <v>56000000</v>
      </c>
      <c r="F120" s="938">
        <f>IF(('Pl 2016-20 PFC'!F126)=0,"",'Pl 2016-20 PFC'!F126)</f>
        <v>57000000</v>
      </c>
      <c r="G120" s="2097">
        <f>IF(('Pl 2016-20 PFC'!G126)=0,"",'Pl 2016-20 PFC'!G126)</f>
        <v>57000000</v>
      </c>
      <c r="H120" s="2097">
        <f t="shared" si="8"/>
        <v>0</v>
      </c>
      <c r="I120" s="2097" t="str">
        <f>IF(('Pl 2016-20 PFC'!H126)=0,"",'Pl 2016-20 PFC'!H126)</f>
        <v/>
      </c>
      <c r="J120" s="2097">
        <f>IF(('Pl 2016-20 PFC'!I126)=0,"",'Pl 2016-20 PFC'!I126)</f>
        <v>57000000</v>
      </c>
      <c r="K120" s="938" t="e">
        <f>IF(('Pl 2016-20 PFC'!#REF!)=0,"",'Pl 2016-20 PFC'!#REF!)</f>
        <v>#REF!</v>
      </c>
      <c r="L120" s="991">
        <f t="shared" si="6"/>
        <v>101.78571428571429</v>
      </c>
      <c r="M120" s="994"/>
      <c r="N120" s="994"/>
      <c r="O120" s="994"/>
      <c r="P120" s="994"/>
      <c r="Q120" s="994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39"/>
      <c r="AL120" s="339"/>
      <c r="AM120" s="339"/>
      <c r="AN120" s="341"/>
      <c r="AO120" s="341"/>
    </row>
    <row r="121" spans="1:41" ht="15.75" hidden="1" customHeight="1">
      <c r="A121" s="2146"/>
      <c r="B121" s="2141" t="s">
        <v>373</v>
      </c>
      <c r="C121" s="2148" t="s">
        <v>146</v>
      </c>
      <c r="D121" s="346">
        <f>IF(('Pl 2016-20 PFC'!D127)=0,"",'Pl 2016-20 PFC'!D127)</f>
        <v>1000000</v>
      </c>
      <c r="E121" s="938">
        <f>IF(('Pl 2016-20 PFC'!E127)=0,"",'Pl 2016-20 PFC'!E127)</f>
        <v>782000</v>
      </c>
      <c r="F121" s="938">
        <f>IF(('Pl 2016-20 PFC'!F127)=0,"",'Pl 2016-20 PFC'!F127)</f>
        <v>1720000</v>
      </c>
      <c r="G121" s="2097">
        <f>IF(('Pl 2016-20 PFC'!G127)=0,"",'Pl 2016-20 PFC'!G127)</f>
        <v>1220000</v>
      </c>
      <c r="H121" s="2097">
        <f t="shared" si="8"/>
        <v>-500000</v>
      </c>
      <c r="I121" s="2097" t="str">
        <f>IF(('Pl 2016-20 PFC'!H127)=0,"",'Pl 2016-20 PFC'!H127)</f>
        <v/>
      </c>
      <c r="J121" s="2097">
        <f>IF(('Pl 2016-20 PFC'!I127)=0,"",'Pl 2016-20 PFC'!I127)</f>
        <v>1220000</v>
      </c>
      <c r="K121" s="938" t="e">
        <f>IF(('Pl 2016-20 PFC'!#REF!)=0,"",'Pl 2016-20 PFC'!#REF!)</f>
        <v>#REF!</v>
      </c>
      <c r="L121" s="991">
        <f t="shared" si="6"/>
        <v>156.01023017902813</v>
      </c>
      <c r="M121" s="986"/>
      <c r="N121" s="986"/>
      <c r="O121" s="986"/>
      <c r="P121" s="986"/>
      <c r="Q121" s="986"/>
    </row>
    <row r="122" spans="1:41" ht="15.75" hidden="1" customHeight="1">
      <c r="A122" s="2146"/>
      <c r="B122" s="2141" t="s">
        <v>374</v>
      </c>
      <c r="C122" s="2148" t="s">
        <v>146</v>
      </c>
      <c r="D122" s="346">
        <f>IF(('Pl 2016-20 PFC'!D128)=0,"0",'Pl 2016-20 PFC'!D128)</f>
        <v>550000</v>
      </c>
      <c r="E122" s="938">
        <f>IF(('Pl 2016-20 PFC'!E128)=0,"0",'Pl 2016-20 PFC'!E128)</f>
        <v>200000</v>
      </c>
      <c r="F122" s="938">
        <f>IF(('Pl 2016-20 PFC'!F128)=0,"0",'Pl 2016-20 PFC'!F128)</f>
        <v>400000</v>
      </c>
      <c r="G122" s="2097">
        <f>IF(('Pl 2016-20 PFC'!G128)=0,"0",'Pl 2016-20 PFC'!G128)</f>
        <v>400000</v>
      </c>
      <c r="H122" s="2097">
        <f t="shared" si="8"/>
        <v>0</v>
      </c>
      <c r="I122" s="2097" t="str">
        <f>IF(('Pl 2016-20 PFC'!H128)=0,"0",'Pl 2016-20 PFC'!H128)</f>
        <v>0</v>
      </c>
      <c r="J122" s="2097">
        <f>IF(('Pl 2016-20 PFC'!I128)=0,"0",'Pl 2016-20 PFC'!I128)</f>
        <v>400000</v>
      </c>
      <c r="K122" s="938" t="e">
        <f>IF(('Pl 2016-20 PFC'!#REF!)=0,"0",'Pl 2016-20 PFC'!#REF!)</f>
        <v>#REF!</v>
      </c>
      <c r="L122" s="991">
        <f t="shared" si="6"/>
        <v>200</v>
      </c>
      <c r="M122" s="986"/>
      <c r="N122" s="986"/>
      <c r="O122" s="986"/>
      <c r="P122" s="986"/>
      <c r="Q122" s="986"/>
    </row>
    <row r="123" spans="1:41" ht="15.75" hidden="1" customHeight="1">
      <c r="A123" s="2146"/>
      <c r="B123" s="2141" t="s">
        <v>375</v>
      </c>
      <c r="C123" s="2148" t="s">
        <v>146</v>
      </c>
      <c r="D123" s="346">
        <f>SUM(D124:D144)</f>
        <v>82919000</v>
      </c>
      <c r="E123" s="938">
        <f>SUM(E124:E144)</f>
        <v>82379000</v>
      </c>
      <c r="F123" s="938">
        <f>SUM(F124:F144)</f>
        <v>95520000</v>
      </c>
      <c r="G123" s="2097">
        <f>SUM(G124:G144)</f>
        <v>59881000</v>
      </c>
      <c r="H123" s="2097">
        <f t="shared" si="8"/>
        <v>-35639000</v>
      </c>
      <c r="I123" s="2097">
        <f>SUM(I124:I144)</f>
        <v>0</v>
      </c>
      <c r="J123" s="2097">
        <f>SUM(J124:J144)</f>
        <v>59881000</v>
      </c>
      <c r="K123" s="938" t="e">
        <f>SUM(K124:K144)</f>
        <v>#REF!</v>
      </c>
      <c r="L123" s="991">
        <f t="shared" si="6"/>
        <v>72.689641777637505</v>
      </c>
      <c r="M123" s="986"/>
      <c r="N123" s="986"/>
      <c r="O123" s="986"/>
      <c r="P123" s="986"/>
      <c r="Q123" s="986"/>
    </row>
    <row r="124" spans="1:41" ht="15.75" hidden="1" customHeight="1">
      <c r="A124" s="2146"/>
      <c r="B124" s="2141" t="s">
        <v>279</v>
      </c>
      <c r="C124" s="2148"/>
      <c r="D124" s="346" t="str">
        <f>IF(('Pl 2016-20 PFC'!D130)=0,"",'Pl 2016-20 PFC'!D130)</f>
        <v/>
      </c>
      <c r="E124" s="938" t="str">
        <f>IF(('Pl 2016-20 PFC'!E130)=0,"",'Pl 2016-20 PFC'!E130)</f>
        <v/>
      </c>
      <c r="F124" s="938" t="str">
        <f>IF(('Pl 2016-20 PFC'!F130)=0,"",'Pl 2016-20 PFC'!F130)</f>
        <v/>
      </c>
      <c r="G124" s="2097" t="str">
        <f>IF(('Pl 2016-20 PFC'!G130)=0,"",'Pl 2016-20 PFC'!G130)</f>
        <v/>
      </c>
      <c r="H124" s="2097" t="e">
        <f t="shared" si="8"/>
        <v>#VALUE!</v>
      </c>
      <c r="I124" s="2097" t="str">
        <f>IF(('Pl 2016-20 PFC'!H130)=0,"",'Pl 2016-20 PFC'!H130)</f>
        <v/>
      </c>
      <c r="J124" s="2097" t="str">
        <f>IF(('Pl 2016-20 PFC'!I130)=0,"",'Pl 2016-20 PFC'!I130)</f>
        <v/>
      </c>
      <c r="K124" s="938" t="e">
        <f>IF(('Pl 2016-20 PFC'!#REF!)=0,"",'Pl 2016-20 PFC'!#REF!)</f>
        <v>#REF!</v>
      </c>
      <c r="L124" s="991" t="e">
        <f t="shared" si="6"/>
        <v>#VALUE!</v>
      </c>
      <c r="M124" s="986"/>
      <c r="N124" s="986"/>
      <c r="O124" s="986"/>
      <c r="P124" s="986"/>
      <c r="Q124" s="986"/>
    </row>
    <row r="125" spans="1:41" ht="15.75" hidden="1" customHeight="1">
      <c r="A125" s="2146"/>
      <c r="B125" s="2141" t="s">
        <v>151</v>
      </c>
      <c r="C125" s="2148"/>
      <c r="D125" s="346">
        <f>IF(('Pl 2016-20 PFC'!D131)=0,"",'Pl 2016-20 PFC'!D131)</f>
        <v>5718000</v>
      </c>
      <c r="E125" s="938">
        <f>IF(('Pl 2016-20 PFC'!E131)=0,"",'Pl 2016-20 PFC'!E131)</f>
        <v>5178000</v>
      </c>
      <c r="F125" s="938" t="str">
        <f>IF(('Pl 2016-20 PFC'!F131)=0,"",'Pl 2016-20 PFC'!F131)</f>
        <v/>
      </c>
      <c r="G125" s="2097" t="str">
        <f>IF(('Pl 2016-20 PFC'!G131)=0,"",'Pl 2016-20 PFC'!G131)</f>
        <v/>
      </c>
      <c r="H125" s="2097" t="e">
        <f t="shared" si="8"/>
        <v>#VALUE!</v>
      </c>
      <c r="I125" s="2097" t="str">
        <f>IF(('Pl 2016-20 PFC'!H131)=0,"",'Pl 2016-20 PFC'!H131)</f>
        <v/>
      </c>
      <c r="J125" s="2097" t="str">
        <f>IF(('Pl 2016-20 PFC'!I131)=0,"",'Pl 2016-20 PFC'!I131)</f>
        <v/>
      </c>
      <c r="K125" s="938" t="e">
        <f>IF(('Pl 2016-20 PFC'!#REF!)=0,"",'Pl 2016-20 PFC'!#REF!)</f>
        <v>#REF!</v>
      </c>
      <c r="L125" s="991" t="e">
        <f t="shared" si="6"/>
        <v>#VALUE!</v>
      </c>
      <c r="M125" s="986"/>
      <c r="N125" s="986"/>
      <c r="O125" s="986"/>
      <c r="P125" s="986"/>
      <c r="Q125" s="986"/>
    </row>
    <row r="126" spans="1:41" ht="15.75" hidden="1" customHeight="1">
      <c r="A126" s="2146"/>
      <c r="B126" s="2141" t="s">
        <v>376</v>
      </c>
      <c r="C126" s="2148"/>
      <c r="D126" s="346" t="str">
        <f>IF(('Pl 2016-20 PFC'!D132)=0,"",'Pl 2016-20 PFC'!D132)</f>
        <v/>
      </c>
      <c r="E126" s="938" t="str">
        <f>IF(('Pl 2016-20 PFC'!E132)=0,"",'Pl 2016-20 PFC'!E132)</f>
        <v/>
      </c>
      <c r="F126" s="938" t="str">
        <f>IF(('Pl 2016-20 PFC'!F132)=0,"",'Pl 2016-20 PFC'!F132)</f>
        <v/>
      </c>
      <c r="G126" s="2097" t="str">
        <f>IF(('Pl 2016-20 PFC'!G132)=0,"",'Pl 2016-20 PFC'!G132)</f>
        <v/>
      </c>
      <c r="H126" s="2097" t="e">
        <f t="shared" si="8"/>
        <v>#VALUE!</v>
      </c>
      <c r="I126" s="2097" t="str">
        <f>IF(('Pl 2016-20 PFC'!H132)=0,"",'Pl 2016-20 PFC'!H132)</f>
        <v/>
      </c>
      <c r="J126" s="2097" t="str">
        <f>IF(('Pl 2016-20 PFC'!I132)=0,"",'Pl 2016-20 PFC'!I132)</f>
        <v/>
      </c>
      <c r="K126" s="938" t="e">
        <f>IF(('Pl 2016-20 PFC'!#REF!)=0,"",'Pl 2016-20 PFC'!#REF!)</f>
        <v>#REF!</v>
      </c>
      <c r="L126" s="991" t="e">
        <f t="shared" si="6"/>
        <v>#VALUE!</v>
      </c>
      <c r="M126" s="986"/>
      <c r="N126" s="986"/>
      <c r="O126" s="986"/>
      <c r="P126" s="986"/>
      <c r="Q126" s="986"/>
    </row>
    <row r="127" spans="1:41" ht="15.75" hidden="1" customHeight="1">
      <c r="A127" s="2146"/>
      <c r="B127" s="2141" t="s">
        <v>153</v>
      </c>
      <c r="C127" s="2148"/>
      <c r="D127" s="346" t="str">
        <f>IF(('Pl 2016-20 PFC'!D134)=0,"",'Pl 2016-20 PFC'!D134)</f>
        <v/>
      </c>
      <c r="E127" s="938" t="str">
        <f>IF(('Pl 2016-20 PFC'!E134)=0,"",'Pl 2016-20 PFC'!E134)</f>
        <v/>
      </c>
      <c r="F127" s="938" t="str">
        <f>IF(('Pl 2016-20 PFC'!F134)=0,"",'Pl 2016-20 PFC'!F134)</f>
        <v/>
      </c>
      <c r="G127" s="2097" t="str">
        <f>IF(('Pl 2016-20 PFC'!G134)=0,"",'Pl 2016-20 PFC'!G134)</f>
        <v/>
      </c>
      <c r="H127" s="2097" t="e">
        <f t="shared" si="8"/>
        <v>#VALUE!</v>
      </c>
      <c r="I127" s="2097" t="str">
        <f>IF(('Pl 2016-20 PFC'!H134)=0,"",'Pl 2016-20 PFC'!H134)</f>
        <v/>
      </c>
      <c r="J127" s="2097" t="str">
        <f>IF(('Pl 2016-20 PFC'!I134)=0,"",'Pl 2016-20 PFC'!I134)</f>
        <v/>
      </c>
      <c r="K127" s="938" t="e">
        <f>IF(('Pl 2016-20 PFC'!#REF!)=0,"",'Pl 2016-20 PFC'!#REF!)</f>
        <v>#REF!</v>
      </c>
      <c r="L127" s="991" t="e">
        <f t="shared" si="6"/>
        <v>#VALUE!</v>
      </c>
      <c r="M127" s="986"/>
      <c r="N127" s="986"/>
      <c r="O127" s="986"/>
      <c r="P127" s="986"/>
      <c r="Q127" s="986"/>
    </row>
    <row r="128" spans="1:41" ht="15.75" hidden="1" customHeight="1">
      <c r="A128" s="2146"/>
      <c r="B128" s="2141" t="s">
        <v>377</v>
      </c>
      <c r="C128" s="2148"/>
      <c r="D128" s="346" t="str">
        <f>IF(('Pl 2016-20 PFC'!D135)=0,"",'Pl 2016-20 PFC'!D135)</f>
        <v/>
      </c>
      <c r="E128" s="938" t="str">
        <f>IF(('Pl 2016-20 PFC'!E135)=0,"",'Pl 2016-20 PFC'!E135)</f>
        <v/>
      </c>
      <c r="F128" s="938" t="str">
        <f>IF(('Pl 2016-20 PFC'!F135)=0,"",'Pl 2016-20 PFC'!F135)</f>
        <v/>
      </c>
      <c r="G128" s="2097" t="str">
        <f>IF(('Pl 2016-20 PFC'!G135)=0,"",'Pl 2016-20 PFC'!G135)</f>
        <v/>
      </c>
      <c r="H128" s="2097" t="e">
        <f t="shared" si="8"/>
        <v>#VALUE!</v>
      </c>
      <c r="I128" s="2097" t="str">
        <f>IF(('Pl 2016-20 PFC'!H135)=0,"",'Pl 2016-20 PFC'!H135)</f>
        <v/>
      </c>
      <c r="J128" s="2097" t="str">
        <f>IF(('Pl 2016-20 PFC'!I135)=0,"",'Pl 2016-20 PFC'!I135)</f>
        <v/>
      </c>
      <c r="K128" s="938" t="e">
        <f>IF(('Pl 2016-20 PFC'!#REF!)=0,"",'Pl 2016-20 PFC'!#REF!)</f>
        <v>#REF!</v>
      </c>
      <c r="L128" s="991" t="e">
        <f t="shared" si="6"/>
        <v>#VALUE!</v>
      </c>
      <c r="M128" s="986"/>
      <c r="N128" s="986"/>
      <c r="O128" s="986"/>
      <c r="P128" s="986"/>
      <c r="Q128" s="986"/>
    </row>
    <row r="129" spans="1:17" ht="15.75" hidden="1" customHeight="1">
      <c r="A129" s="2146"/>
      <c r="B129" s="2141" t="s">
        <v>155</v>
      </c>
      <c r="C129" s="2148"/>
      <c r="D129" s="346" t="str">
        <f>IF(('Pl 2016-20 PFC'!D135)=0,"",'Pl 2016-20 PFC'!D135)</f>
        <v/>
      </c>
      <c r="E129" s="938" t="str">
        <f>IF(('Pl 2016-20 PFC'!E135)=0,"",'Pl 2016-20 PFC'!E135)</f>
        <v/>
      </c>
      <c r="F129" s="938" t="str">
        <f>IF(('Pl 2016-20 PFC'!F135)=0,"",'Pl 2016-20 PFC'!F135)</f>
        <v/>
      </c>
      <c r="G129" s="2097" t="str">
        <f>IF(('Pl 2016-20 PFC'!G135)=0,"",'Pl 2016-20 PFC'!G135)</f>
        <v/>
      </c>
      <c r="H129" s="2097" t="e">
        <f t="shared" si="8"/>
        <v>#VALUE!</v>
      </c>
      <c r="I129" s="2097" t="str">
        <f>IF(('Pl 2016-20 PFC'!H135)=0,"",'Pl 2016-20 PFC'!H135)</f>
        <v/>
      </c>
      <c r="J129" s="2097" t="str">
        <f>IF(('Pl 2016-20 PFC'!I135)=0,"",'Pl 2016-20 PFC'!I135)</f>
        <v/>
      </c>
      <c r="K129" s="938" t="e">
        <f>IF(('Pl 2016-20 PFC'!#REF!)=0,"",'Pl 2016-20 PFC'!#REF!)</f>
        <v>#REF!</v>
      </c>
      <c r="L129" s="991" t="e">
        <f t="shared" si="6"/>
        <v>#VALUE!</v>
      </c>
      <c r="M129" s="986"/>
      <c r="N129" s="986"/>
      <c r="O129" s="986"/>
      <c r="P129" s="986"/>
      <c r="Q129" s="986"/>
    </row>
    <row r="130" spans="1:17" ht="15.75" hidden="1" customHeight="1">
      <c r="A130" s="2146"/>
      <c r="B130" s="2141" t="s">
        <v>156</v>
      </c>
      <c r="C130" s="2148"/>
      <c r="D130" s="346" t="str">
        <f>IF(('Pl 2016-20 PFC'!D136)=0,"",'Pl 2016-20 PFC'!D136)</f>
        <v/>
      </c>
      <c r="E130" s="938" t="str">
        <f>IF(('Pl 2016-20 PFC'!E136)=0,"",'Pl 2016-20 PFC'!E136)</f>
        <v/>
      </c>
      <c r="F130" s="938" t="str">
        <f>IF(('Pl 2016-20 PFC'!F136)=0,"",'Pl 2016-20 PFC'!F136)</f>
        <v/>
      </c>
      <c r="G130" s="2097" t="str">
        <f>IF(('Pl 2016-20 PFC'!G136)=0,"",'Pl 2016-20 PFC'!G136)</f>
        <v/>
      </c>
      <c r="H130" s="2097" t="e">
        <f t="shared" si="8"/>
        <v>#VALUE!</v>
      </c>
      <c r="I130" s="2097" t="str">
        <f>IF(('Pl 2016-20 PFC'!H136)=0,"",'Pl 2016-20 PFC'!H136)</f>
        <v/>
      </c>
      <c r="J130" s="2097" t="str">
        <f>IF(('Pl 2016-20 PFC'!I136)=0,"",'Pl 2016-20 PFC'!I136)</f>
        <v/>
      </c>
      <c r="K130" s="938" t="e">
        <f>IF(('Pl 2016-20 PFC'!#REF!)=0,"",'Pl 2016-20 PFC'!#REF!)</f>
        <v>#REF!</v>
      </c>
      <c r="L130" s="991" t="e">
        <f t="shared" si="6"/>
        <v>#VALUE!</v>
      </c>
      <c r="M130" s="986"/>
      <c r="N130" s="986"/>
      <c r="O130" s="986"/>
      <c r="P130" s="986"/>
      <c r="Q130" s="986"/>
    </row>
    <row r="131" spans="1:17" ht="15.75" hidden="1" customHeight="1">
      <c r="A131" s="2146"/>
      <c r="B131" s="2141" t="s">
        <v>157</v>
      </c>
      <c r="C131" s="2148"/>
      <c r="D131" s="346" t="str">
        <f>IF(('Pl 2016-20 PFC'!D137)=0,"",'Pl 2016-20 PFC'!D137)</f>
        <v/>
      </c>
      <c r="E131" s="938" t="str">
        <f>IF(('Pl 2016-20 PFC'!E137)=0,"",'Pl 2016-20 PFC'!E137)</f>
        <v/>
      </c>
      <c r="F131" s="938" t="str">
        <f>IF(('Pl 2016-20 PFC'!F137)=0,"",'Pl 2016-20 PFC'!F137)</f>
        <v/>
      </c>
      <c r="G131" s="2097" t="str">
        <f>IF(('Pl 2016-20 PFC'!G137)=0,"",'Pl 2016-20 PFC'!G137)</f>
        <v/>
      </c>
      <c r="H131" s="2097" t="e">
        <f t="shared" si="8"/>
        <v>#VALUE!</v>
      </c>
      <c r="I131" s="2097" t="str">
        <f>IF(('Pl 2016-20 PFC'!H137)=0,"",'Pl 2016-20 PFC'!H137)</f>
        <v/>
      </c>
      <c r="J131" s="2097" t="str">
        <f>IF(('Pl 2016-20 PFC'!I137)=0,"",'Pl 2016-20 PFC'!I137)</f>
        <v/>
      </c>
      <c r="K131" s="938" t="e">
        <f>IF(('Pl 2016-20 PFC'!#REF!)=0,"",'Pl 2016-20 PFC'!#REF!)</f>
        <v>#REF!</v>
      </c>
      <c r="L131" s="991" t="e">
        <f t="shared" si="6"/>
        <v>#VALUE!</v>
      </c>
      <c r="M131" s="986"/>
      <c r="N131" s="986"/>
      <c r="O131" s="986"/>
      <c r="P131" s="986"/>
      <c r="Q131" s="986"/>
    </row>
    <row r="132" spans="1:17" ht="15.75" hidden="1" customHeight="1">
      <c r="A132" s="2146"/>
      <c r="B132" s="2141" t="s">
        <v>158</v>
      </c>
      <c r="C132" s="2148"/>
      <c r="D132" s="346" t="str">
        <f>IF(('Pl 2016-20 PFC'!D138)=0,"",'Pl 2016-20 PFC'!D138)</f>
        <v/>
      </c>
      <c r="E132" s="938" t="str">
        <f>IF(('Pl 2016-20 PFC'!E138)=0,"",'Pl 2016-20 PFC'!E138)</f>
        <v/>
      </c>
      <c r="F132" s="938" t="str">
        <f>IF(('Pl 2016-20 PFC'!F138)=0,"",'Pl 2016-20 PFC'!F138)</f>
        <v/>
      </c>
      <c r="G132" s="2097" t="str">
        <f>IF(('Pl 2016-20 PFC'!G138)=0,"",'Pl 2016-20 PFC'!G138)</f>
        <v/>
      </c>
      <c r="H132" s="2097" t="e">
        <f t="shared" si="8"/>
        <v>#VALUE!</v>
      </c>
      <c r="I132" s="2097" t="str">
        <f>IF(('Pl 2016-20 PFC'!H138)=0,"",'Pl 2016-20 PFC'!H138)</f>
        <v/>
      </c>
      <c r="J132" s="2097" t="str">
        <f>IF(('Pl 2016-20 PFC'!I138)=0,"",'Pl 2016-20 PFC'!I138)</f>
        <v/>
      </c>
      <c r="K132" s="938" t="e">
        <f>IF(('Pl 2016-20 PFC'!#REF!)=0,"",'Pl 2016-20 PFC'!#REF!)</f>
        <v>#REF!</v>
      </c>
      <c r="L132" s="991" t="e">
        <f t="shared" si="6"/>
        <v>#VALUE!</v>
      </c>
      <c r="M132" s="986"/>
      <c r="N132" s="986"/>
      <c r="O132" s="986"/>
      <c r="P132" s="986"/>
      <c r="Q132" s="986"/>
    </row>
    <row r="133" spans="1:17" ht="15.75" hidden="1" customHeight="1">
      <c r="A133" s="2146"/>
      <c r="B133" s="2141" t="s">
        <v>159</v>
      </c>
      <c r="C133" s="2148"/>
      <c r="D133" s="346" t="str">
        <f>IF(('Pl 2016-20 PFC'!D139)=0,"",'Pl 2016-20 PFC'!D139)</f>
        <v/>
      </c>
      <c r="E133" s="938" t="str">
        <f>IF(('Pl 2016-20 PFC'!E139)=0,"",'Pl 2016-20 PFC'!E139)</f>
        <v/>
      </c>
      <c r="F133" s="938" t="str">
        <f>IF(('Pl 2016-20 PFC'!F139)=0,"",'Pl 2016-20 PFC'!F139)</f>
        <v/>
      </c>
      <c r="G133" s="2097" t="str">
        <f>IF(('Pl 2016-20 PFC'!G139)=0,"",'Pl 2016-20 PFC'!G139)</f>
        <v/>
      </c>
      <c r="H133" s="2097" t="e">
        <f t="shared" si="8"/>
        <v>#VALUE!</v>
      </c>
      <c r="I133" s="2097" t="str">
        <f>IF(('Pl 2016-20 PFC'!H139)=0,"",'Pl 2016-20 PFC'!H139)</f>
        <v/>
      </c>
      <c r="J133" s="2097" t="str">
        <f>IF(('Pl 2016-20 PFC'!I139)=0,"",'Pl 2016-20 PFC'!I139)</f>
        <v/>
      </c>
      <c r="K133" s="938" t="e">
        <f>IF(('Pl 2016-20 PFC'!#REF!)=0,"",'Pl 2016-20 PFC'!#REF!)</f>
        <v>#REF!</v>
      </c>
      <c r="L133" s="991" t="e">
        <f t="shared" si="6"/>
        <v>#VALUE!</v>
      </c>
      <c r="M133" s="986"/>
      <c r="N133" s="986"/>
      <c r="O133" s="986"/>
      <c r="P133" s="986"/>
      <c r="Q133" s="986"/>
    </row>
    <row r="134" spans="1:17" ht="15.75" hidden="1" customHeight="1">
      <c r="A134" s="2146"/>
      <c r="B134" s="2141" t="s">
        <v>160</v>
      </c>
      <c r="C134" s="2148"/>
      <c r="D134" s="346" t="str">
        <f>IF(('Pl 2016-20 PFC'!D140)=0,"",'Pl 2016-20 PFC'!D140)</f>
        <v/>
      </c>
      <c r="E134" s="938" t="str">
        <f>IF(('Pl 2016-20 PFC'!E140)=0,"",'Pl 2016-20 PFC'!E140)</f>
        <v/>
      </c>
      <c r="F134" s="938" t="str">
        <f>IF(('Pl 2016-20 PFC'!F140)=0,"",'Pl 2016-20 PFC'!F140)</f>
        <v/>
      </c>
      <c r="G134" s="2097" t="str">
        <f>IF(('Pl 2016-20 PFC'!G140)=0,"",'Pl 2016-20 PFC'!G140)</f>
        <v/>
      </c>
      <c r="H134" s="2097" t="e">
        <f t="shared" si="8"/>
        <v>#VALUE!</v>
      </c>
      <c r="I134" s="2097" t="str">
        <f>IF(('Pl 2016-20 PFC'!H140)=0,"",'Pl 2016-20 PFC'!H140)</f>
        <v/>
      </c>
      <c r="J134" s="2097" t="str">
        <f>IF(('Pl 2016-20 PFC'!I140)=0,"",'Pl 2016-20 PFC'!I140)</f>
        <v/>
      </c>
      <c r="K134" s="938" t="e">
        <f>IF(('Pl 2016-20 PFC'!#REF!)=0,"",'Pl 2016-20 PFC'!#REF!)</f>
        <v>#REF!</v>
      </c>
      <c r="L134" s="991" t="e">
        <f t="shared" si="6"/>
        <v>#VALUE!</v>
      </c>
      <c r="M134" s="986"/>
      <c r="N134" s="986"/>
      <c r="O134" s="986"/>
      <c r="P134" s="986"/>
      <c r="Q134" s="986"/>
    </row>
    <row r="135" spans="1:17" ht="15.75" hidden="1" customHeight="1">
      <c r="A135" s="2146"/>
      <c r="B135" s="2141" t="s">
        <v>161</v>
      </c>
      <c r="C135" s="2148"/>
      <c r="D135" s="346" t="str">
        <f>IF(('Pl 2016-20 PFC'!D141)=0,"",'Pl 2016-20 PFC'!D141)</f>
        <v/>
      </c>
      <c r="E135" s="938" t="str">
        <f>IF(('Pl 2016-20 PFC'!E141)=0,"",'Pl 2016-20 PFC'!E141)</f>
        <v/>
      </c>
      <c r="F135" s="938" t="str">
        <f>IF(('Pl 2016-20 PFC'!F141)=0,"",'Pl 2016-20 PFC'!F141)</f>
        <v/>
      </c>
      <c r="G135" s="2097" t="str">
        <f>IF(('Pl 2016-20 PFC'!G141)=0,"",'Pl 2016-20 PFC'!G141)</f>
        <v/>
      </c>
      <c r="H135" s="2097" t="e">
        <f t="shared" si="8"/>
        <v>#VALUE!</v>
      </c>
      <c r="I135" s="2097" t="str">
        <f>IF(('Pl 2016-20 PFC'!H141)=0,"",'Pl 2016-20 PFC'!H141)</f>
        <v/>
      </c>
      <c r="J135" s="2097" t="str">
        <f>IF(('Pl 2016-20 PFC'!I141)=0,"",'Pl 2016-20 PFC'!I141)</f>
        <v/>
      </c>
      <c r="K135" s="938" t="e">
        <f>IF(('Pl 2016-20 PFC'!#REF!)=0,"",'Pl 2016-20 PFC'!#REF!)</f>
        <v>#REF!</v>
      </c>
      <c r="L135" s="991" t="e">
        <f t="shared" si="6"/>
        <v>#VALUE!</v>
      </c>
      <c r="M135" s="986"/>
      <c r="N135" s="986"/>
      <c r="O135" s="986"/>
      <c r="P135" s="986"/>
      <c r="Q135" s="986"/>
    </row>
    <row r="136" spans="1:17" ht="15.75" hidden="1" customHeight="1">
      <c r="A136" s="2146"/>
      <c r="B136" s="2141" t="s">
        <v>162</v>
      </c>
      <c r="C136" s="2148"/>
      <c r="D136" s="346" t="str">
        <f>IF(('Pl 2016-20 PFC'!D142)=0,"",'Pl 2016-20 PFC'!D142)</f>
        <v/>
      </c>
      <c r="E136" s="938" t="str">
        <f>IF(('Pl 2016-20 PFC'!E142)=0,"",'Pl 2016-20 PFC'!E142)</f>
        <v/>
      </c>
      <c r="F136" s="938" t="str">
        <f>IF(('Pl 2016-20 PFC'!F142)=0,"",'Pl 2016-20 PFC'!F142)</f>
        <v/>
      </c>
      <c r="G136" s="2097" t="str">
        <f>IF(('Pl 2016-20 PFC'!G142)=0,"",'Pl 2016-20 PFC'!G142)</f>
        <v/>
      </c>
      <c r="H136" s="2097" t="e">
        <f t="shared" si="8"/>
        <v>#VALUE!</v>
      </c>
      <c r="I136" s="2097" t="str">
        <f>IF(('Pl 2016-20 PFC'!H142)=0,"",'Pl 2016-20 PFC'!H142)</f>
        <v/>
      </c>
      <c r="J136" s="2097" t="str">
        <f>IF(('Pl 2016-20 PFC'!I142)=0,"",'Pl 2016-20 PFC'!I142)</f>
        <v/>
      </c>
      <c r="K136" s="938" t="e">
        <f>IF(('Pl 2016-20 PFC'!#REF!)=0,"",'Pl 2016-20 PFC'!#REF!)</f>
        <v>#REF!</v>
      </c>
      <c r="L136" s="991" t="e">
        <f t="shared" si="6"/>
        <v>#VALUE!</v>
      </c>
      <c r="M136" s="986"/>
      <c r="N136" s="986"/>
      <c r="O136" s="986"/>
      <c r="P136" s="986"/>
      <c r="Q136" s="986"/>
    </row>
    <row r="137" spans="1:17" ht="15.75" hidden="1" customHeight="1">
      <c r="A137" s="2146"/>
      <c r="B137" s="2141" t="s">
        <v>163</v>
      </c>
      <c r="C137" s="2148"/>
      <c r="D137" s="346" t="str">
        <f>IF(('Pl 2016-20 PFC'!D143)=0,"",'Pl 2016-20 PFC'!D143)</f>
        <v/>
      </c>
      <c r="E137" s="938" t="str">
        <f>IF(('Pl 2016-20 PFC'!E143)=0,"",'Pl 2016-20 PFC'!E143)</f>
        <v/>
      </c>
      <c r="F137" s="938" t="str">
        <f>IF(('Pl 2016-20 PFC'!F143)=0,"",'Pl 2016-20 PFC'!F143)</f>
        <v/>
      </c>
      <c r="G137" s="2097" t="str">
        <f>IF(('Pl 2016-20 PFC'!G143)=0,"",'Pl 2016-20 PFC'!G143)</f>
        <v/>
      </c>
      <c r="H137" s="2097" t="e">
        <f t="shared" si="8"/>
        <v>#VALUE!</v>
      </c>
      <c r="I137" s="2097" t="str">
        <f>IF(('Pl 2016-20 PFC'!H143)=0,"",'Pl 2016-20 PFC'!H143)</f>
        <v/>
      </c>
      <c r="J137" s="2097" t="str">
        <f>IF(('Pl 2016-20 PFC'!I143)=0,"",'Pl 2016-20 PFC'!I143)</f>
        <v/>
      </c>
      <c r="K137" s="938" t="e">
        <f>IF(('Pl 2016-20 PFC'!#REF!)=0,"",'Pl 2016-20 PFC'!#REF!)</f>
        <v>#REF!</v>
      </c>
      <c r="L137" s="991" t="e">
        <f t="shared" si="6"/>
        <v>#VALUE!</v>
      </c>
      <c r="M137" s="986"/>
      <c r="N137" s="986"/>
      <c r="O137" s="986"/>
      <c r="P137" s="986"/>
      <c r="Q137" s="986"/>
    </row>
    <row r="138" spans="1:17" ht="15.75" hidden="1" customHeight="1">
      <c r="A138" s="2146"/>
      <c r="B138" s="2141" t="s">
        <v>164</v>
      </c>
      <c r="C138" s="2148"/>
      <c r="D138" s="346" t="str">
        <f>IF(('Pl 2016-20 PFC'!D144)=0,"",'Pl 2016-20 PFC'!D144)</f>
        <v/>
      </c>
      <c r="E138" s="938" t="str">
        <f>IF(('Pl 2016-20 PFC'!E144)=0,"",'Pl 2016-20 PFC'!E144)</f>
        <v/>
      </c>
      <c r="F138" s="938" t="str">
        <f>IF(('Pl 2016-20 PFC'!F144)=0,"",'Pl 2016-20 PFC'!F144)</f>
        <v/>
      </c>
      <c r="G138" s="2097" t="str">
        <f>IF(('Pl 2016-20 PFC'!G144)=0,"",'Pl 2016-20 PFC'!G144)</f>
        <v/>
      </c>
      <c r="H138" s="2097" t="e">
        <f t="shared" si="8"/>
        <v>#VALUE!</v>
      </c>
      <c r="I138" s="2097" t="str">
        <f>IF(('Pl 2016-20 PFC'!H144)=0,"",'Pl 2016-20 PFC'!H144)</f>
        <v/>
      </c>
      <c r="J138" s="2097" t="str">
        <f>IF(('Pl 2016-20 PFC'!I144)=0,"",'Pl 2016-20 PFC'!I144)</f>
        <v/>
      </c>
      <c r="K138" s="938" t="e">
        <f>IF(('Pl 2016-20 PFC'!#REF!)=0,"",'Pl 2016-20 PFC'!#REF!)</f>
        <v>#REF!</v>
      </c>
      <c r="L138" s="991" t="e">
        <f t="shared" si="6"/>
        <v>#VALUE!</v>
      </c>
      <c r="M138" s="986"/>
      <c r="N138" s="986"/>
      <c r="O138" s="986"/>
      <c r="P138" s="986"/>
      <c r="Q138" s="986"/>
    </row>
    <row r="139" spans="1:17" ht="15.75" hidden="1" customHeight="1">
      <c r="A139" s="2146"/>
      <c r="B139" s="2141" t="s">
        <v>165</v>
      </c>
      <c r="C139" s="2148"/>
      <c r="D139" s="346">
        <f>IF(('Pl 2016-20 PFC'!D145)=0,"",'Pl 2016-20 PFC'!D145)</f>
        <v>460000</v>
      </c>
      <c r="E139" s="938">
        <f>IF(('Pl 2016-20 PFC'!E145)=0,"",'Pl 2016-20 PFC'!E145)</f>
        <v>460000</v>
      </c>
      <c r="F139" s="938">
        <f>IF(('Pl 2016-20 PFC'!F145)=0,"",'Pl 2016-20 PFC'!F145)</f>
        <v>520000</v>
      </c>
      <c r="G139" s="2097">
        <f>IF(('Pl 2016-20 PFC'!G145)=0,"",'Pl 2016-20 PFC'!G145)</f>
        <v>520000</v>
      </c>
      <c r="H139" s="2097">
        <f t="shared" si="8"/>
        <v>0</v>
      </c>
      <c r="I139" s="2097" t="str">
        <f>IF(('Pl 2016-20 PFC'!H145)=0,"",'Pl 2016-20 PFC'!H145)</f>
        <v/>
      </c>
      <c r="J139" s="2097">
        <f>IF(('Pl 2016-20 PFC'!I145)=0,"",'Pl 2016-20 PFC'!I145)</f>
        <v>520000</v>
      </c>
      <c r="K139" s="938" t="e">
        <f>IF(('Pl 2016-20 PFC'!#REF!)=0,"",'Pl 2016-20 PFC'!#REF!)</f>
        <v>#REF!</v>
      </c>
      <c r="L139" s="991">
        <f t="shared" si="6"/>
        <v>113.04347826086956</v>
      </c>
      <c r="M139" s="986"/>
      <c r="N139" s="986"/>
      <c r="O139" s="986"/>
      <c r="P139" s="986"/>
      <c r="Q139" s="986"/>
    </row>
    <row r="140" spans="1:17" ht="15.75" hidden="1" customHeight="1">
      <c r="A140" s="2146"/>
      <c r="B140" s="2141" t="s">
        <v>166</v>
      </c>
      <c r="C140" s="2148"/>
      <c r="D140" s="346">
        <f>IF(('Pl 2016-20 PFC'!D146)=0,"",'Pl 2016-20 PFC'!D146)</f>
        <v>76741000</v>
      </c>
      <c r="E140" s="938">
        <f>IF(('Pl 2016-20 PFC'!E146)=0,"",'Pl 2016-20 PFC'!E146)</f>
        <v>76741000</v>
      </c>
      <c r="F140" s="938">
        <f>IF(('Pl 2016-20 PFC'!F146)=0,"",'Pl 2016-20 PFC'!F146)</f>
        <v>75000000</v>
      </c>
      <c r="G140" s="2097">
        <f>IF(('Pl 2016-20 PFC'!G146)=0,"",'Pl 2016-20 PFC'!G146)</f>
        <v>49352000</v>
      </c>
      <c r="H140" s="2097">
        <f t="shared" si="8"/>
        <v>-25648000</v>
      </c>
      <c r="I140" s="2097" t="str">
        <f>IF(('Pl 2016-20 PFC'!H146)=0,"",'Pl 2016-20 PFC'!H146)</f>
        <v/>
      </c>
      <c r="J140" s="2097">
        <f>IF(('Pl 2016-20 PFC'!I146)=0,"",'Pl 2016-20 PFC'!I146)</f>
        <v>49352000</v>
      </c>
      <c r="K140" s="938" t="e">
        <f>IF(('Pl 2016-20 PFC'!#REF!)=0,"",'Pl 2016-20 PFC'!#REF!)</f>
        <v>#REF!</v>
      </c>
      <c r="L140" s="991">
        <f t="shared" si="6"/>
        <v>64.309821347128647</v>
      </c>
      <c r="M140" s="986"/>
      <c r="N140" s="986"/>
      <c r="O140" s="986"/>
      <c r="P140" s="986"/>
      <c r="Q140" s="986"/>
    </row>
    <row r="141" spans="1:17" ht="15.75" hidden="1" customHeight="1">
      <c r="A141" s="2146"/>
      <c r="B141" s="2141" t="s">
        <v>378</v>
      </c>
      <c r="C141" s="2148"/>
      <c r="D141" s="346" t="str">
        <f>IF(('Pl 2016-20 PFC'!D147)=0,"",'Pl 2016-20 PFC'!D147)</f>
        <v/>
      </c>
      <c r="E141" s="938" t="str">
        <f>IF(('Pl 2016-20 PFC'!E147)=0,"",'Pl 2016-20 PFC'!E147)</f>
        <v/>
      </c>
      <c r="F141" s="938" t="str">
        <f>IF(('Pl 2016-20 PFC'!F147)=0,"",'Pl 2016-20 PFC'!F147)</f>
        <v/>
      </c>
      <c r="G141" s="2097" t="str">
        <f>IF(('Pl 2016-20 PFC'!G147)=0,"",'Pl 2016-20 PFC'!G147)</f>
        <v/>
      </c>
      <c r="H141" s="2097" t="e">
        <f t="shared" si="8"/>
        <v>#VALUE!</v>
      </c>
      <c r="I141" s="2097" t="str">
        <f>IF(('Pl 2016-20 PFC'!H147)=0,"",'Pl 2016-20 PFC'!H147)</f>
        <v/>
      </c>
      <c r="J141" s="2097" t="str">
        <f>IF(('Pl 2016-20 PFC'!I147)=0,"",'Pl 2016-20 PFC'!I147)</f>
        <v/>
      </c>
      <c r="K141" s="938" t="e">
        <f>IF(('Pl 2016-20 PFC'!#REF!)=0,"",'Pl 2016-20 PFC'!#REF!)</f>
        <v>#REF!</v>
      </c>
      <c r="L141" s="991" t="e">
        <f t="shared" si="6"/>
        <v>#VALUE!</v>
      </c>
      <c r="M141" s="986"/>
      <c r="N141" s="986"/>
      <c r="O141" s="986"/>
      <c r="P141" s="986"/>
      <c r="Q141" s="986"/>
    </row>
    <row r="142" spans="1:17" ht="15.75" hidden="1" customHeight="1">
      <c r="A142" s="2146"/>
      <c r="B142" s="2181" t="str">
        <f>'Pl 2016-20 PFC'!B148</f>
        <v>Program Wsparcia Centrów Sportu Niepełnosprawnych</v>
      </c>
      <c r="C142" s="2148"/>
      <c r="D142" s="346"/>
      <c r="E142" s="938"/>
      <c r="F142" s="938"/>
      <c r="G142" s="2097">
        <f>IF(('Pl 2016-20 PFC'!G148)=0,"",'Pl 2016-20 PFC'!G148)</f>
        <v>9000</v>
      </c>
      <c r="H142" s="2097" t="str">
        <f>IF(('Pl 2016-20 PFC'!H148)=0,"",'Pl 2016-20 PFC'!H148)</f>
        <v/>
      </c>
      <c r="I142" s="2097" t="str">
        <f>IF(('Pl 2016-20 PFC'!H148)=0,"",'Pl 2016-20 PFC'!H148)</f>
        <v/>
      </c>
      <c r="J142" s="2097">
        <f>IF(('Pl 2016-20 PFC'!I148)=0,"",'Pl 2016-20 PFC'!I148)</f>
        <v>9000</v>
      </c>
      <c r="K142" s="938"/>
      <c r="L142" s="991"/>
      <c r="M142" s="986"/>
      <c r="N142" s="986"/>
      <c r="O142" s="986"/>
      <c r="P142" s="986"/>
      <c r="Q142" s="986"/>
    </row>
    <row r="143" spans="1:17" ht="15.75" hidden="1" customHeight="1">
      <c r="A143" s="2146"/>
      <c r="B143" s="2181" t="str">
        <f>'Pl 2016-20 PFC'!B149</f>
        <v>"Partnerstwo dla osób z niepełnosprawnościami"</v>
      </c>
      <c r="C143" s="2148"/>
      <c r="D143" s="346"/>
      <c r="E143" s="938"/>
      <c r="F143" s="938"/>
      <c r="G143" s="2097">
        <f>IF(('Pl 2016-20 PFC'!G149)=0,"",'Pl 2016-20 PFC'!G149)</f>
        <v>10000000</v>
      </c>
      <c r="H143" s="2097"/>
      <c r="I143" s="2097" t="str">
        <f>IF(('Pl 2016-20 PFC'!H149)=0,"",'Pl 2016-20 PFC'!H149)</f>
        <v/>
      </c>
      <c r="J143" s="2097">
        <f>IF(('Pl 2016-20 PFC'!I149)=0,"",'Pl 2016-20 PFC'!I149)</f>
        <v>10000000</v>
      </c>
      <c r="K143" s="938"/>
      <c r="L143" s="991"/>
      <c r="M143" s="986"/>
      <c r="N143" s="986"/>
      <c r="O143" s="986"/>
      <c r="P143" s="986"/>
      <c r="Q143" s="986"/>
    </row>
    <row r="144" spans="1:17" ht="15.75" hidden="1" customHeight="1">
      <c r="A144" s="2146"/>
      <c r="B144" s="2141" t="s">
        <v>168</v>
      </c>
      <c r="C144" s="2148"/>
      <c r="D144" s="346" t="str">
        <f>IF(('Pl 2016-20 PFC'!D150)=0,"",'Pl 2016-20 PFC'!D150)</f>
        <v/>
      </c>
      <c r="E144" s="938" t="str">
        <f>IF(('Pl 2016-20 PFC'!E150)=0,"",'Pl 2016-20 PFC'!E150)</f>
        <v/>
      </c>
      <c r="F144" s="938">
        <f>IF(('Pl 2016-20 PFC'!F150)=0,"",'Pl 2016-20 PFC'!F150)</f>
        <v>20000000</v>
      </c>
      <c r="G144" s="2097" t="str">
        <f>IF(('Pl 2016-20 PFC'!G150)=0,"",'Pl 2016-20 PFC'!G150)</f>
        <v/>
      </c>
      <c r="H144" s="2097" t="e">
        <f t="shared" si="8"/>
        <v>#VALUE!</v>
      </c>
      <c r="I144" s="2097" t="str">
        <f>IF(('Pl 2016-20 PFC'!H150)=0,"",'Pl 2016-20 PFC'!H150)</f>
        <v/>
      </c>
      <c r="J144" s="2097" t="str">
        <f>IF(('Pl 2016-20 PFC'!I150)=0,"",'Pl 2016-20 PFC'!I150)</f>
        <v/>
      </c>
      <c r="K144" s="938" t="e">
        <f>IF(('Pl 2016-20 PFC'!#REF!)=0,"",'Pl 2016-20 PFC'!#REF!)</f>
        <v>#REF!</v>
      </c>
      <c r="L144" s="991" t="e">
        <f t="shared" si="6"/>
        <v>#VALUE!</v>
      </c>
      <c r="M144" s="986"/>
      <c r="N144" s="986"/>
      <c r="O144" s="986"/>
      <c r="P144" s="986"/>
      <c r="Q144" s="986"/>
    </row>
    <row r="145" spans="1:41" ht="15.75" hidden="1" customHeight="1">
      <c r="A145" s="2146"/>
      <c r="B145" s="2141"/>
      <c r="C145" s="2148"/>
      <c r="D145" s="346"/>
      <c r="E145" s="938"/>
      <c r="F145" s="938"/>
      <c r="G145" s="2097"/>
      <c r="H145" s="2097">
        <f t="shared" si="8"/>
        <v>0</v>
      </c>
      <c r="I145" s="2097"/>
      <c r="J145" s="2097"/>
      <c r="K145" s="938"/>
      <c r="L145" s="991" t="e">
        <f t="shared" si="6"/>
        <v>#DIV/0!</v>
      </c>
      <c r="M145" s="986"/>
      <c r="N145" s="986"/>
      <c r="O145" s="986"/>
      <c r="P145" s="986"/>
      <c r="Q145" s="986"/>
    </row>
    <row r="146" spans="1:41" s="342" customFormat="1" ht="15.75" hidden="1" customHeight="1">
      <c r="A146" s="2146" t="s">
        <v>17</v>
      </c>
      <c r="B146" s="2141" t="s">
        <v>379</v>
      </c>
      <c r="C146" s="2148" t="s">
        <v>81</v>
      </c>
      <c r="D146" s="346">
        <f>SUM(D147:D148)</f>
        <v>3264133000</v>
      </c>
      <c r="E146" s="938">
        <f>SUM(E147:E148)</f>
        <v>3263133000</v>
      </c>
      <c r="F146" s="938">
        <f>SUM(F147:F148)</f>
        <v>3417940000</v>
      </c>
      <c r="G146" s="2097">
        <f>SUM(G147:G148)</f>
        <v>3305903000</v>
      </c>
      <c r="H146" s="2097">
        <f t="shared" si="8"/>
        <v>-112037000</v>
      </c>
      <c r="I146" s="2097">
        <f>SUM(I147:I148)</f>
        <v>0</v>
      </c>
      <c r="J146" s="2097">
        <f>SUM(J147:J148)</f>
        <v>3305903000</v>
      </c>
      <c r="K146" s="938" t="e">
        <f>SUM(K147:K148)</f>
        <v>#REF!</v>
      </c>
      <c r="L146" s="991">
        <f t="shared" si="6"/>
        <v>101.31070354778674</v>
      </c>
      <c r="M146" s="994"/>
      <c r="N146" s="994"/>
      <c r="O146" s="994"/>
      <c r="P146" s="994"/>
      <c r="Q146" s="994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41"/>
      <c r="AO146" s="341"/>
    </row>
    <row r="147" spans="1:41" s="341" customFormat="1" ht="15.75" hidden="1" customHeight="1">
      <c r="A147" s="2146" t="s">
        <v>170</v>
      </c>
      <c r="B147" s="2141" t="s">
        <v>368</v>
      </c>
      <c r="C147" s="2148" t="s">
        <v>171</v>
      </c>
      <c r="D147" s="346">
        <f>SUM(D155,D156,D157,D158,D159,D161,D149,D160,D154)</f>
        <v>3264133000</v>
      </c>
      <c r="E147" s="938">
        <f>SUM(E155,E156,E157,E158,E159,E161,E149,E160,E154)</f>
        <v>3263133000</v>
      </c>
      <c r="F147" s="938">
        <f>SUM(F155,F156,F157,F158,F159,F161,F149,F160,F154)</f>
        <v>3417940000</v>
      </c>
      <c r="G147" s="2097">
        <f>SUM(G155,G156,G157,G158,G159,G161,G149,G160,G154)</f>
        <v>3305903000</v>
      </c>
      <c r="H147" s="2097">
        <f t="shared" si="8"/>
        <v>-112037000</v>
      </c>
      <c r="I147" s="2097">
        <f>SUM(I155,I156,I157,I158,I159,I161,I149,I160,I154)</f>
        <v>0</v>
      </c>
      <c r="J147" s="2097">
        <f>SUM(J155,J156,J157,J158,J159,J161,J149,J160,J154)</f>
        <v>3305903000</v>
      </c>
      <c r="K147" s="938" t="e">
        <f>SUM(K155,K156,K157,K158,K159,K161,K149,K160,K154)</f>
        <v>#REF!</v>
      </c>
      <c r="L147" s="991">
        <f t="shared" si="6"/>
        <v>101.31070354778674</v>
      </c>
      <c r="M147" s="994"/>
      <c r="N147" s="994"/>
      <c r="O147" s="994"/>
      <c r="P147" s="994"/>
      <c r="Q147" s="994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39"/>
      <c r="AM147" s="339"/>
    </row>
    <row r="148" spans="1:41" s="341" customFormat="1" ht="15.75" hidden="1" customHeight="1">
      <c r="A148" s="2146" t="s">
        <v>172</v>
      </c>
      <c r="B148" s="2141" t="s">
        <v>148</v>
      </c>
      <c r="C148" s="2148" t="s">
        <v>173</v>
      </c>
      <c r="D148" s="346">
        <f>SUM(D153)</f>
        <v>0</v>
      </c>
      <c r="E148" s="938">
        <f>SUM(E153)</f>
        <v>0</v>
      </c>
      <c r="F148" s="938">
        <f>SUM(F153)</f>
        <v>0</v>
      </c>
      <c r="G148" s="2097">
        <f>SUM(G153)</f>
        <v>0</v>
      </c>
      <c r="H148" s="2097">
        <f t="shared" si="8"/>
        <v>0</v>
      </c>
      <c r="I148" s="2097">
        <f>SUM(I153)</f>
        <v>0</v>
      </c>
      <c r="J148" s="2097">
        <f>SUM(J153)</f>
        <v>0</v>
      </c>
      <c r="K148" s="938" t="e">
        <f>SUM(K153)</f>
        <v>#REF!</v>
      </c>
      <c r="L148" s="991" t="e">
        <f t="shared" si="6"/>
        <v>#DIV/0!</v>
      </c>
      <c r="M148" s="994"/>
      <c r="N148" s="994"/>
      <c r="O148" s="994"/>
      <c r="P148" s="994"/>
      <c r="Q148" s="994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</row>
    <row r="149" spans="1:41" s="341" customFormat="1" ht="15.75" hidden="1" customHeight="1">
      <c r="A149" s="2146"/>
      <c r="B149" s="2141" t="s">
        <v>380</v>
      </c>
      <c r="C149" s="2148" t="s">
        <v>171</v>
      </c>
      <c r="D149" s="346">
        <f>SUM(D150:D152)</f>
        <v>94610000</v>
      </c>
      <c r="E149" s="938">
        <f>SUM(E150:E152)</f>
        <v>94610000</v>
      </c>
      <c r="F149" s="938">
        <f>SUM(F150:F152)</f>
        <v>105837000</v>
      </c>
      <c r="G149" s="2097">
        <f>SUM(G150:G152)</f>
        <v>97600000</v>
      </c>
      <c r="H149" s="2097">
        <f t="shared" si="8"/>
        <v>-8237000</v>
      </c>
      <c r="I149" s="2097">
        <f>SUM(I150:I152)</f>
        <v>0</v>
      </c>
      <c r="J149" s="2097">
        <f>SUM(J150:J152)</f>
        <v>97600000</v>
      </c>
      <c r="K149" s="938" t="e">
        <f>SUM(K150:K152)</f>
        <v>#REF!</v>
      </c>
      <c r="L149" s="991">
        <f t="shared" si="6"/>
        <v>103.1603424585139</v>
      </c>
      <c r="M149" s="994"/>
      <c r="N149" s="994"/>
      <c r="O149" s="994"/>
      <c r="P149" s="994"/>
      <c r="Q149" s="994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</row>
    <row r="150" spans="1:41" s="341" customFormat="1" ht="15.75" hidden="1" customHeight="1">
      <c r="A150" s="2146"/>
      <c r="B150" s="2141" t="s">
        <v>174</v>
      </c>
      <c r="C150" s="2148" t="s">
        <v>171</v>
      </c>
      <c r="D150" s="346">
        <f>'Pl 2016-20 PFC'!D156</f>
        <v>50000</v>
      </c>
      <c r="E150" s="938">
        <f>'Pl 2016-20 PFC'!E156</f>
        <v>50000</v>
      </c>
      <c r="F150" s="938">
        <f>'Pl 2016-20 PFC'!F156</f>
        <v>50000</v>
      </c>
      <c r="G150" s="2097">
        <f>'Pl 2016-20 PFC'!G156</f>
        <v>50000</v>
      </c>
      <c r="H150" s="2097">
        <f t="shared" si="8"/>
        <v>0</v>
      </c>
      <c r="I150" s="2097">
        <f>'Pl 2016-20 PFC'!H156</f>
        <v>0</v>
      </c>
      <c r="J150" s="2097">
        <f>'Pl 2016-20 PFC'!I156</f>
        <v>50000</v>
      </c>
      <c r="K150" s="938" t="e">
        <f>'Pl 2016-20 PFC'!#REF!</f>
        <v>#REF!</v>
      </c>
      <c r="L150" s="991">
        <f t="shared" si="6"/>
        <v>100</v>
      </c>
      <c r="M150" s="994"/>
      <c r="N150" s="994"/>
      <c r="O150" s="994"/>
      <c r="P150" s="994"/>
      <c r="Q150" s="994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</row>
    <row r="151" spans="1:41" s="341" customFormat="1" ht="15.75" hidden="1" customHeight="1">
      <c r="A151" s="2146"/>
      <c r="B151" s="2141" t="s">
        <v>175</v>
      </c>
      <c r="C151" s="2148" t="s">
        <v>171</v>
      </c>
      <c r="D151" s="346">
        <f>'Pl 2016-20 PFC'!D157</f>
        <v>89523000</v>
      </c>
      <c r="E151" s="938">
        <f>'Pl 2016-20 PFC'!E157</f>
        <v>89523000</v>
      </c>
      <c r="F151" s="938">
        <f>'Pl 2016-20 PFC'!F157</f>
        <v>100844000</v>
      </c>
      <c r="G151" s="2097">
        <f>'Pl 2016-20 PFC'!G157</f>
        <v>92607000</v>
      </c>
      <c r="H151" s="2097">
        <f t="shared" si="8"/>
        <v>-8237000</v>
      </c>
      <c r="I151" s="2097">
        <f>'Pl 2016-20 PFC'!H157</f>
        <v>0</v>
      </c>
      <c r="J151" s="2097">
        <f>'Pl 2016-20 PFC'!I157</f>
        <v>92607000</v>
      </c>
      <c r="K151" s="938" t="e">
        <f>'Pl 2016-20 PFC'!#REF!</f>
        <v>#REF!</v>
      </c>
      <c r="L151" s="991">
        <f t="shared" ref="L151:L232" si="9">G151/E151%</f>
        <v>103.44492476793673</v>
      </c>
      <c r="M151" s="994"/>
      <c r="N151" s="994"/>
      <c r="O151" s="994"/>
      <c r="P151" s="994"/>
      <c r="Q151" s="994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</row>
    <row r="152" spans="1:41" s="341" customFormat="1" ht="15.75" hidden="1" customHeight="1">
      <c r="A152" s="2146"/>
      <c r="B152" s="2141" t="s">
        <v>176</v>
      </c>
      <c r="C152" s="2148" t="s">
        <v>171</v>
      </c>
      <c r="D152" s="346">
        <f>'Pl 2016-20 PFC'!D158</f>
        <v>5037000</v>
      </c>
      <c r="E152" s="938">
        <f>'Pl 2016-20 PFC'!E158</f>
        <v>5037000</v>
      </c>
      <c r="F152" s="938">
        <f>'Pl 2016-20 PFC'!F158</f>
        <v>4943000</v>
      </c>
      <c r="G152" s="2097">
        <f>'Pl 2016-20 PFC'!G158</f>
        <v>4943000</v>
      </c>
      <c r="H152" s="2097">
        <f t="shared" si="8"/>
        <v>0</v>
      </c>
      <c r="I152" s="2097">
        <f>'Pl 2016-20 PFC'!H158</f>
        <v>0</v>
      </c>
      <c r="J152" s="2097">
        <f>'Pl 2016-20 PFC'!I158</f>
        <v>4943000</v>
      </c>
      <c r="K152" s="938" t="e">
        <f>'Pl 2016-20 PFC'!#REF!</f>
        <v>#REF!</v>
      </c>
      <c r="L152" s="991">
        <f t="shared" si="9"/>
        <v>98.133809807425052</v>
      </c>
      <c r="M152" s="994"/>
      <c r="N152" s="994"/>
      <c r="O152" s="994"/>
      <c r="P152" s="994"/>
      <c r="Q152" s="994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39"/>
      <c r="AM152" s="339"/>
    </row>
    <row r="153" spans="1:41" s="341" customFormat="1" ht="15.75" hidden="1" customHeight="1">
      <c r="A153" s="2146"/>
      <c r="B153" s="2141" t="s">
        <v>370</v>
      </c>
      <c r="C153" s="2148" t="s">
        <v>173</v>
      </c>
      <c r="D153" s="346">
        <f>'Pl 2016-20 PFC'!D159</f>
        <v>0</v>
      </c>
      <c r="E153" s="938">
        <f>'Pl 2016-20 PFC'!E159</f>
        <v>0</v>
      </c>
      <c r="F153" s="938">
        <f>'Pl 2016-20 PFC'!F159</f>
        <v>0</v>
      </c>
      <c r="G153" s="2097">
        <f>'Pl 2016-20 PFC'!G159</f>
        <v>0</v>
      </c>
      <c r="H153" s="2097">
        <f t="shared" si="8"/>
        <v>0</v>
      </c>
      <c r="I153" s="2097">
        <f>'Pl 2016-20 PFC'!H159</f>
        <v>0</v>
      </c>
      <c r="J153" s="2097">
        <f>'Pl 2016-20 PFC'!I159</f>
        <v>0</v>
      </c>
      <c r="K153" s="938" t="e">
        <f>'Pl 2016-20 PFC'!#REF!</f>
        <v>#REF!</v>
      </c>
      <c r="L153" s="991" t="e">
        <f t="shared" si="9"/>
        <v>#DIV/0!</v>
      </c>
      <c r="M153" s="994"/>
      <c r="N153" s="994"/>
      <c r="O153" s="994"/>
      <c r="P153" s="994"/>
      <c r="Q153" s="994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</row>
    <row r="154" spans="1:41" s="341" customFormat="1" ht="15.75" hidden="1" customHeight="1">
      <c r="A154" s="2146"/>
      <c r="B154" s="2141" t="s">
        <v>371</v>
      </c>
      <c r="C154" s="2148"/>
      <c r="D154" s="346">
        <f>'Pl 2016-20 PFC'!D160</f>
        <v>79000</v>
      </c>
      <c r="E154" s="938">
        <f>'Pl 2016-20 PFC'!E160</f>
        <v>79000</v>
      </c>
      <c r="F154" s="938">
        <f>'Pl 2016-20 PFC'!F160</f>
        <v>2400000</v>
      </c>
      <c r="G154" s="2097">
        <f>'Pl 2016-20 PFC'!G160</f>
        <v>1400000</v>
      </c>
      <c r="H154" s="2097">
        <f t="shared" si="8"/>
        <v>-1000000</v>
      </c>
      <c r="I154" s="2097">
        <f>'Pl 2016-20 PFC'!H160</f>
        <v>0</v>
      </c>
      <c r="J154" s="2097">
        <f>'Pl 2016-20 PFC'!I160</f>
        <v>1400000</v>
      </c>
      <c r="K154" s="938" t="e">
        <f>'Pl 2016-20 PFC'!#REF!</f>
        <v>#REF!</v>
      </c>
      <c r="L154" s="991">
        <f t="shared" si="9"/>
        <v>1772.1518987341772</v>
      </c>
      <c r="M154" s="994"/>
      <c r="N154" s="994"/>
      <c r="O154" s="994"/>
      <c r="P154" s="994"/>
      <c r="Q154" s="994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  <c r="AK154" s="339"/>
      <c r="AL154" s="339"/>
      <c r="AM154" s="339"/>
    </row>
    <row r="155" spans="1:41" s="341" customFormat="1" ht="15.75" hidden="1" customHeight="1">
      <c r="A155" s="2146"/>
      <c r="B155" s="2141" t="s">
        <v>381</v>
      </c>
      <c r="C155" s="2148"/>
      <c r="D155" s="346">
        <f>'Pl 2016-20 PFC'!D161</f>
        <v>3000000</v>
      </c>
      <c r="E155" s="938">
        <f>'Pl 2016-20 PFC'!E161</f>
        <v>2000000</v>
      </c>
      <c r="F155" s="938">
        <f>'Pl 2016-20 PFC'!F161</f>
        <v>3000000</v>
      </c>
      <c r="G155" s="2097">
        <f>'Pl 2016-20 PFC'!G161</f>
        <v>2500000</v>
      </c>
      <c r="H155" s="2097">
        <f t="shared" si="8"/>
        <v>-500000</v>
      </c>
      <c r="I155" s="2097">
        <f>'Pl 2016-20 PFC'!H161</f>
        <v>0</v>
      </c>
      <c r="J155" s="2097">
        <f>'Pl 2016-20 PFC'!I161</f>
        <v>2500000</v>
      </c>
      <c r="K155" s="938" t="e">
        <f>'Pl 2016-20 PFC'!#REF!</f>
        <v>#REF!</v>
      </c>
      <c r="L155" s="991">
        <f t="shared" si="9"/>
        <v>125</v>
      </c>
      <c r="M155" s="994"/>
      <c r="N155" s="994"/>
      <c r="O155" s="994"/>
      <c r="P155" s="994"/>
      <c r="Q155" s="994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</row>
    <row r="156" spans="1:41" s="341" customFormat="1" ht="15.75" hidden="1" customHeight="1">
      <c r="A156" s="2146"/>
      <c r="B156" s="2141" t="s">
        <v>382</v>
      </c>
      <c r="C156" s="2148"/>
      <c r="D156" s="346">
        <f>IF(('Pl 2016-20 PFC'!D162)=0,"",'Pl 2016-20 PFC'!D162)</f>
        <v>5000000</v>
      </c>
      <c r="E156" s="938">
        <f>IF(('Pl 2016-20 PFC'!E162)=0,"",'Pl 2016-20 PFC'!E162)</f>
        <v>5000000</v>
      </c>
      <c r="F156" s="938">
        <f>IF(('Pl 2016-20 PFC'!F162)=0,"",'Pl 2016-20 PFC'!F162)</f>
        <v>9000000</v>
      </c>
      <c r="G156" s="2097">
        <f>IF(('Pl 2016-20 PFC'!G162)=0,"",'Pl 2016-20 PFC'!G162)</f>
        <v>6500000</v>
      </c>
      <c r="H156" s="2097">
        <f t="shared" si="8"/>
        <v>-2500000</v>
      </c>
      <c r="I156" s="2097" t="str">
        <f>IF(('Pl 2016-20 PFC'!H162)=0,"",'Pl 2016-20 PFC'!H162)</f>
        <v/>
      </c>
      <c r="J156" s="2097">
        <f>IF(('Pl 2016-20 PFC'!I162)=0,"",'Pl 2016-20 PFC'!I162)</f>
        <v>6500000</v>
      </c>
      <c r="K156" s="938" t="e">
        <f>IF(('Pl 2016-20 PFC'!#REF!)=0,"",'Pl 2016-20 PFC'!#REF!)</f>
        <v>#REF!</v>
      </c>
      <c r="L156" s="991">
        <f t="shared" si="9"/>
        <v>130</v>
      </c>
      <c r="M156" s="994"/>
      <c r="N156" s="994"/>
      <c r="O156" s="994"/>
      <c r="P156" s="994"/>
      <c r="Q156" s="994"/>
      <c r="R156" s="339"/>
      <c r="S156" s="339"/>
      <c r="T156" s="339"/>
      <c r="U156" s="339"/>
      <c r="V156" s="339"/>
      <c r="W156" s="339"/>
      <c r="X156" s="339"/>
      <c r="Y156" s="339"/>
      <c r="Z156" s="339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</row>
    <row r="157" spans="1:41" s="341" customFormat="1" ht="15.75" hidden="1" customHeight="1">
      <c r="A157" s="2146"/>
      <c r="B157" s="2141" t="s">
        <v>383</v>
      </c>
      <c r="C157" s="2148" t="s">
        <v>171</v>
      </c>
      <c r="D157" s="346">
        <f>IF(('Pl 2016-20 PFC'!D163)=0,"",'Pl 2016-20 PFC'!D163)</f>
        <v>2980196000</v>
      </c>
      <c r="E157" s="938">
        <f>IF(('Pl 2016-20 PFC'!E163)=0,"",'Pl 2016-20 PFC'!E163)</f>
        <v>2980196000</v>
      </c>
      <c r="F157" s="938">
        <f>IF(('Pl 2016-20 PFC'!F163)=0,"",'Pl 2016-20 PFC'!F163)</f>
        <v>3020000000</v>
      </c>
      <c r="G157" s="2097">
        <f>IF(('Pl 2016-20 PFC'!G163)=0,"",'Pl 2016-20 PFC'!G163)</f>
        <v>2985000000</v>
      </c>
      <c r="H157" s="2097">
        <f t="shared" si="8"/>
        <v>-35000000</v>
      </c>
      <c r="I157" s="2097" t="str">
        <f>IF(('Pl 2016-20 PFC'!H163)=0,"",'Pl 2016-20 PFC'!H163)</f>
        <v/>
      </c>
      <c r="J157" s="2097">
        <f>IF(('Pl 2016-20 PFC'!I163)=0,"",'Pl 2016-20 PFC'!I163)</f>
        <v>2985000000</v>
      </c>
      <c r="K157" s="938" t="e">
        <f>IF(('Pl 2016-20 PFC'!#REF!)=0,"",'Pl 2016-20 PFC'!#REF!)</f>
        <v>#REF!</v>
      </c>
      <c r="L157" s="991">
        <f t="shared" si="9"/>
        <v>100.16119745144279</v>
      </c>
      <c r="M157" s="994"/>
      <c r="N157" s="994"/>
      <c r="O157" s="994"/>
      <c r="P157" s="994"/>
      <c r="Q157" s="994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39"/>
      <c r="AF157" s="339"/>
      <c r="AG157" s="339"/>
      <c r="AH157" s="339"/>
      <c r="AI157" s="339"/>
      <c r="AJ157" s="339"/>
      <c r="AK157" s="339"/>
      <c r="AL157" s="339"/>
      <c r="AM157" s="339"/>
    </row>
    <row r="158" spans="1:41" s="341" customFormat="1" ht="15.75" hidden="1" customHeight="1">
      <c r="A158" s="2146"/>
      <c r="B158" s="2141" t="s">
        <v>373</v>
      </c>
      <c r="C158" s="2148" t="s">
        <v>171</v>
      </c>
      <c r="D158" s="346">
        <f>IF(('Pl 2016-20 PFC'!D165)=0,"",'Pl 2016-20 PFC'!D165)</f>
        <v>2500000</v>
      </c>
      <c r="E158" s="938">
        <f>IF(('Pl 2016-20 PFC'!E165)=0,"",'Pl 2016-20 PFC'!E165)</f>
        <v>2500000</v>
      </c>
      <c r="F158" s="938">
        <f>IF(('Pl 2016-20 PFC'!F165)=0,"",'Pl 2016-20 PFC'!F165)</f>
        <v>2500000</v>
      </c>
      <c r="G158" s="2097">
        <f>IF(('Pl 2016-20 PFC'!G165)=0,"",'Pl 2016-20 PFC'!G165)</f>
        <v>2000000</v>
      </c>
      <c r="H158" s="2097">
        <f t="shared" si="8"/>
        <v>-500000</v>
      </c>
      <c r="I158" s="2097" t="str">
        <f>IF(('Pl 2016-20 PFC'!H165)=0,"",'Pl 2016-20 PFC'!H165)</f>
        <v/>
      </c>
      <c r="J158" s="2097">
        <f>IF(('Pl 2016-20 PFC'!I165)=0,"",'Pl 2016-20 PFC'!I165)</f>
        <v>2000000</v>
      </c>
      <c r="K158" s="938" t="e">
        <f>IF(('Pl 2016-20 PFC'!#REF!)=0,"",'Pl 2016-20 PFC'!#REF!)</f>
        <v>#REF!</v>
      </c>
      <c r="L158" s="991">
        <f t="shared" si="9"/>
        <v>80</v>
      </c>
      <c r="M158" s="994"/>
      <c r="N158" s="994"/>
      <c r="O158" s="994"/>
      <c r="P158" s="994"/>
      <c r="Q158" s="994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  <c r="AC158" s="339"/>
      <c r="AD158" s="339"/>
      <c r="AE158" s="339"/>
      <c r="AF158" s="339"/>
      <c r="AG158" s="339"/>
      <c r="AH158" s="339"/>
      <c r="AI158" s="339"/>
      <c r="AJ158" s="339"/>
      <c r="AK158" s="339"/>
      <c r="AL158" s="339"/>
      <c r="AM158" s="339"/>
    </row>
    <row r="159" spans="1:41" s="341" customFormat="1" ht="15.75" hidden="1" customHeight="1">
      <c r="A159" s="2146"/>
      <c r="B159" s="2141" t="s">
        <v>384</v>
      </c>
      <c r="C159" s="2148" t="s">
        <v>171</v>
      </c>
      <c r="D159" s="346">
        <f>IF(('Pl 2016-20 PFC'!D166)=0,"0",'Pl 2016-20 PFC'!D166)</f>
        <v>171545000</v>
      </c>
      <c r="E159" s="938">
        <f>IF(('Pl 2016-20 PFC'!E166)=0,"0",'Pl 2016-20 PFC'!E166)</f>
        <v>171545000</v>
      </c>
      <c r="F159" s="938">
        <f>IF(('Pl 2016-20 PFC'!F166)=0,"0",'Pl 2016-20 PFC'!F166)</f>
        <v>271600000</v>
      </c>
      <c r="G159" s="2097">
        <f>IF(('Pl 2016-20 PFC'!G166)=0,"0",'Pl 2016-20 PFC'!G166)</f>
        <v>207300000</v>
      </c>
      <c r="H159" s="2097">
        <f t="shared" si="8"/>
        <v>-64300000</v>
      </c>
      <c r="I159" s="2097" t="str">
        <f>IF(('Pl 2016-20 PFC'!H166)=0,"0",'Pl 2016-20 PFC'!H166)</f>
        <v>0</v>
      </c>
      <c r="J159" s="2097">
        <f>IF(('Pl 2016-20 PFC'!I166)=0,"0",'Pl 2016-20 PFC'!I166)</f>
        <v>207300000</v>
      </c>
      <c r="K159" s="938" t="e">
        <f>IF(('Pl 2016-20 PFC'!#REF!)=0,"0",'Pl 2016-20 PFC'!#REF!)</f>
        <v>#REF!</v>
      </c>
      <c r="L159" s="991">
        <f t="shared" si="9"/>
        <v>120.84292751173162</v>
      </c>
      <c r="M159" s="994"/>
      <c r="N159" s="994"/>
      <c r="O159" s="994"/>
      <c r="P159" s="994"/>
      <c r="Q159" s="994"/>
      <c r="R159" s="339"/>
      <c r="S159" s="339"/>
      <c r="T159" s="339"/>
      <c r="U159" s="339"/>
      <c r="V159" s="339"/>
      <c r="W159" s="339"/>
      <c r="X159" s="339"/>
      <c r="Y159" s="339"/>
      <c r="Z159" s="339"/>
      <c r="AA159" s="339"/>
      <c r="AB159" s="339"/>
      <c r="AC159" s="339"/>
      <c r="AD159" s="339"/>
      <c r="AE159" s="339"/>
      <c r="AF159" s="339"/>
      <c r="AG159" s="339"/>
      <c r="AH159" s="339"/>
      <c r="AI159" s="339"/>
      <c r="AJ159" s="339"/>
      <c r="AK159" s="339"/>
      <c r="AL159" s="339"/>
      <c r="AM159" s="339"/>
    </row>
    <row r="160" spans="1:41" s="341" customFormat="1" ht="15.75" hidden="1" customHeight="1">
      <c r="A160" s="2146"/>
      <c r="B160" s="2141" t="s">
        <v>177</v>
      </c>
      <c r="C160" s="2148" t="s">
        <v>171</v>
      </c>
      <c r="D160" s="346">
        <f>'Pl 2016-20 PFC'!D164</f>
        <v>3000</v>
      </c>
      <c r="E160" s="938">
        <f>'Pl 2016-20 PFC'!E164</f>
        <v>3000</v>
      </c>
      <c r="F160" s="938">
        <f>'Pl 2016-20 PFC'!F164</f>
        <v>3000</v>
      </c>
      <c r="G160" s="2097">
        <f>'Pl 2016-20 PFC'!G164</f>
        <v>3000</v>
      </c>
      <c r="H160" s="2097">
        <f t="shared" si="8"/>
        <v>0</v>
      </c>
      <c r="I160" s="2097">
        <f>'Pl 2016-20 PFC'!H164</f>
        <v>0</v>
      </c>
      <c r="J160" s="2097">
        <f>'Pl 2016-20 PFC'!I164</f>
        <v>3000</v>
      </c>
      <c r="K160" s="938" t="e">
        <f>'Pl 2016-20 PFC'!#REF!</f>
        <v>#REF!</v>
      </c>
      <c r="L160" s="991">
        <f t="shared" si="9"/>
        <v>100</v>
      </c>
      <c r="M160" s="994"/>
      <c r="N160" s="994"/>
      <c r="O160" s="994"/>
      <c r="P160" s="994"/>
      <c r="Q160" s="994"/>
      <c r="R160" s="339"/>
      <c r="S160" s="339"/>
      <c r="T160" s="339"/>
      <c r="U160" s="339"/>
      <c r="V160" s="339"/>
      <c r="W160" s="339"/>
      <c r="X160" s="339"/>
      <c r="Y160" s="339"/>
      <c r="Z160" s="339"/>
      <c r="AA160" s="339"/>
      <c r="AB160" s="339"/>
      <c r="AC160" s="339"/>
      <c r="AD160" s="339"/>
      <c r="AE160" s="339"/>
      <c r="AF160" s="339"/>
      <c r="AG160" s="339"/>
      <c r="AH160" s="339"/>
      <c r="AI160" s="339"/>
      <c r="AJ160" s="339"/>
      <c r="AK160" s="339"/>
      <c r="AL160" s="339"/>
      <c r="AM160" s="339"/>
    </row>
    <row r="161" spans="1:39" s="341" customFormat="1" ht="15.75" hidden="1" customHeight="1">
      <c r="A161" s="2146"/>
      <c r="B161" s="2141" t="s">
        <v>385</v>
      </c>
      <c r="C161" s="2148" t="s">
        <v>171</v>
      </c>
      <c r="D161" s="346">
        <f>SUM(D162:D173)</f>
        <v>7200000</v>
      </c>
      <c r="E161" s="938">
        <f>SUM(E162:E173)</f>
        <v>7200000</v>
      </c>
      <c r="F161" s="938">
        <f>SUM(F162:F173)</f>
        <v>3600000</v>
      </c>
      <c r="G161" s="2097">
        <f>SUM(G162:G173)</f>
        <v>3600000</v>
      </c>
      <c r="H161" s="2097">
        <f t="shared" si="8"/>
        <v>0</v>
      </c>
      <c r="I161" s="2097">
        <f>SUM(I162:I173)</f>
        <v>0</v>
      </c>
      <c r="J161" s="2097">
        <f>SUM(J162:J173)</f>
        <v>3600000</v>
      </c>
      <c r="K161" s="938" t="e">
        <f>SUM(K162:K173)</f>
        <v>#REF!</v>
      </c>
      <c r="L161" s="991">
        <f t="shared" si="9"/>
        <v>50</v>
      </c>
      <c r="M161" s="994"/>
      <c r="N161" s="994"/>
      <c r="O161" s="994"/>
      <c r="P161" s="994"/>
      <c r="Q161" s="994"/>
      <c r="R161" s="339"/>
      <c r="S161" s="339"/>
      <c r="T161" s="339"/>
      <c r="U161" s="339"/>
      <c r="V161" s="339"/>
      <c r="W161" s="339"/>
      <c r="X161" s="339"/>
      <c r="Y161" s="339"/>
      <c r="Z161" s="339"/>
      <c r="AA161" s="339"/>
      <c r="AB161" s="339"/>
      <c r="AC161" s="339"/>
      <c r="AD161" s="339"/>
      <c r="AE161" s="339"/>
      <c r="AF161" s="339"/>
      <c r="AG161" s="339"/>
      <c r="AH161" s="339"/>
      <c r="AI161" s="339"/>
      <c r="AJ161" s="339"/>
      <c r="AK161" s="339"/>
      <c r="AL161" s="339"/>
      <c r="AM161" s="339"/>
    </row>
    <row r="162" spans="1:39" s="341" customFormat="1" ht="15.75" hidden="1" customHeight="1">
      <c r="A162" s="2146"/>
      <c r="B162" s="2141" t="s">
        <v>159</v>
      </c>
      <c r="C162" s="2148"/>
      <c r="D162" s="346" t="str">
        <f>IF(('Pl 2016-20 PFC'!D168)=0,"",'Pl 2016-20 PFC'!D168)</f>
        <v/>
      </c>
      <c r="E162" s="938" t="str">
        <f>IF(('Pl 2016-20 PFC'!E168)=0,"",'Pl 2016-20 PFC'!E168)</f>
        <v/>
      </c>
      <c r="F162" s="938" t="str">
        <f>IF(('Pl 2016-20 PFC'!F168)=0,"",'Pl 2016-20 PFC'!F168)</f>
        <v/>
      </c>
      <c r="G162" s="2097" t="str">
        <f>IF(('Pl 2016-20 PFC'!G168)=0,"",'Pl 2016-20 PFC'!G168)</f>
        <v/>
      </c>
      <c r="H162" s="2097" t="e">
        <f t="shared" si="8"/>
        <v>#VALUE!</v>
      </c>
      <c r="I162" s="2097" t="str">
        <f>IF(('Pl 2016-20 PFC'!H168)=0,"",'Pl 2016-20 PFC'!H168)</f>
        <v/>
      </c>
      <c r="J162" s="2097" t="str">
        <f>IF(('Pl 2016-20 PFC'!I168)=0,"",'Pl 2016-20 PFC'!I168)</f>
        <v/>
      </c>
      <c r="K162" s="938" t="e">
        <f>IF(('Pl 2016-20 PFC'!#REF!)=0,"",'Pl 2016-20 PFC'!#REF!)</f>
        <v>#REF!</v>
      </c>
      <c r="L162" s="991" t="e">
        <f t="shared" si="9"/>
        <v>#VALUE!</v>
      </c>
      <c r="M162" s="994"/>
      <c r="N162" s="994"/>
      <c r="O162" s="994"/>
      <c r="P162" s="994"/>
      <c r="Q162" s="994"/>
      <c r="R162" s="339"/>
      <c r="S162" s="339"/>
      <c r="T162" s="339"/>
      <c r="U162" s="339"/>
      <c r="V162" s="339"/>
      <c r="W162" s="339"/>
      <c r="X162" s="339"/>
      <c r="Y162" s="339"/>
      <c r="Z162" s="339"/>
      <c r="AA162" s="339"/>
      <c r="AB162" s="339"/>
      <c r="AC162" s="339"/>
      <c r="AD162" s="339"/>
      <c r="AE162" s="339"/>
      <c r="AF162" s="339"/>
      <c r="AG162" s="339"/>
      <c r="AH162" s="339"/>
      <c r="AI162" s="339"/>
      <c r="AJ162" s="339"/>
      <c r="AK162" s="339"/>
      <c r="AL162" s="339"/>
      <c r="AM162" s="339"/>
    </row>
    <row r="163" spans="1:39" s="341" customFormat="1" ht="15.75" hidden="1" customHeight="1">
      <c r="A163" s="2146"/>
      <c r="B163" s="2141" t="s">
        <v>279</v>
      </c>
      <c r="C163" s="2148"/>
      <c r="D163" s="346" t="str">
        <f>IF(('Pl 2016-20 PFC'!D169)=0,"",'Pl 2016-20 PFC'!D169)</f>
        <v/>
      </c>
      <c r="E163" s="938" t="str">
        <f>IF(('Pl 2016-20 PFC'!E169)=0,"",'Pl 2016-20 PFC'!E169)</f>
        <v/>
      </c>
      <c r="F163" s="938" t="str">
        <f>IF(('Pl 2016-20 PFC'!F169)=0,"",'Pl 2016-20 PFC'!F169)</f>
        <v/>
      </c>
      <c r="G163" s="2097" t="str">
        <f>IF(('Pl 2016-20 PFC'!G169)=0,"",'Pl 2016-20 PFC'!G169)</f>
        <v/>
      </c>
      <c r="H163" s="2097" t="e">
        <f t="shared" si="8"/>
        <v>#VALUE!</v>
      </c>
      <c r="I163" s="2097" t="str">
        <f>IF(('Pl 2016-20 PFC'!H169)=0,"",'Pl 2016-20 PFC'!H169)</f>
        <v/>
      </c>
      <c r="J163" s="2097" t="str">
        <f>IF(('Pl 2016-20 PFC'!I169)=0,"",'Pl 2016-20 PFC'!I169)</f>
        <v/>
      </c>
      <c r="K163" s="938" t="e">
        <f>IF(('Pl 2016-20 PFC'!#REF!)=0,"",'Pl 2016-20 PFC'!#REF!)</f>
        <v>#REF!</v>
      </c>
      <c r="L163" s="991" t="e">
        <f t="shared" si="9"/>
        <v>#VALUE!</v>
      </c>
      <c r="M163" s="994"/>
      <c r="N163" s="994"/>
      <c r="O163" s="994"/>
      <c r="P163" s="994"/>
      <c r="Q163" s="994"/>
      <c r="R163" s="339"/>
      <c r="S163" s="339"/>
      <c r="T163" s="339"/>
      <c r="U163" s="339"/>
      <c r="V163" s="339"/>
      <c r="W163" s="339"/>
      <c r="X163" s="339"/>
      <c r="Y163" s="339"/>
      <c r="Z163" s="339"/>
      <c r="AA163" s="339"/>
      <c r="AB163" s="339"/>
      <c r="AC163" s="339"/>
      <c r="AD163" s="339"/>
      <c r="AE163" s="339"/>
      <c r="AF163" s="339"/>
      <c r="AG163" s="339"/>
      <c r="AH163" s="339"/>
      <c r="AI163" s="339"/>
      <c r="AJ163" s="339"/>
      <c r="AK163" s="339"/>
      <c r="AL163" s="339"/>
      <c r="AM163" s="339"/>
    </row>
    <row r="164" spans="1:39" s="341" customFormat="1" ht="15.75" hidden="1" customHeight="1">
      <c r="A164" s="2146"/>
      <c r="B164" s="2141" t="s">
        <v>157</v>
      </c>
      <c r="C164" s="2148"/>
      <c r="D164" s="346" t="str">
        <f>IF(('Pl 2016-20 PFC'!D170)=0,"",'Pl 2016-20 PFC'!D170)</f>
        <v/>
      </c>
      <c r="E164" s="938" t="str">
        <f>IF(('Pl 2016-20 PFC'!E170)=0,"",'Pl 2016-20 PFC'!E170)</f>
        <v/>
      </c>
      <c r="F164" s="938" t="str">
        <f>IF(('Pl 2016-20 PFC'!F170)=0,"",'Pl 2016-20 PFC'!F170)</f>
        <v/>
      </c>
      <c r="G164" s="2097" t="str">
        <f>IF(('Pl 2016-20 PFC'!G170)=0,"",'Pl 2016-20 PFC'!G170)</f>
        <v/>
      </c>
      <c r="H164" s="2097" t="e">
        <f t="shared" si="8"/>
        <v>#VALUE!</v>
      </c>
      <c r="I164" s="2097" t="str">
        <f>IF(('Pl 2016-20 PFC'!H170)=0,"",'Pl 2016-20 PFC'!H170)</f>
        <v/>
      </c>
      <c r="J164" s="2097" t="str">
        <f>IF(('Pl 2016-20 PFC'!I170)=0,"",'Pl 2016-20 PFC'!I170)</f>
        <v/>
      </c>
      <c r="K164" s="938" t="e">
        <f>IF(('Pl 2016-20 PFC'!#REF!)=0,"",'Pl 2016-20 PFC'!#REF!)</f>
        <v>#REF!</v>
      </c>
      <c r="L164" s="991" t="e">
        <f t="shared" si="9"/>
        <v>#VALUE!</v>
      </c>
      <c r="M164" s="994"/>
      <c r="N164" s="994"/>
      <c r="O164" s="994"/>
      <c r="P164" s="994"/>
      <c r="Q164" s="994"/>
      <c r="R164" s="339"/>
      <c r="S164" s="339"/>
      <c r="T164" s="339"/>
      <c r="U164" s="339"/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  <c r="AK164" s="339"/>
      <c r="AL164" s="339"/>
      <c r="AM164" s="339"/>
    </row>
    <row r="165" spans="1:39" s="341" customFormat="1" ht="15.75" hidden="1" customHeight="1">
      <c r="A165" s="2146"/>
      <c r="B165" s="2141" t="s">
        <v>158</v>
      </c>
      <c r="C165" s="2148"/>
      <c r="D165" s="346" t="str">
        <f>IF(('Pl 2016-20 PFC'!D171)=0,"",'Pl 2016-20 PFC'!D171)</f>
        <v/>
      </c>
      <c r="E165" s="938" t="str">
        <f>IF(('Pl 2016-20 PFC'!E171)=0,"",'Pl 2016-20 PFC'!E171)</f>
        <v/>
      </c>
      <c r="F165" s="938" t="str">
        <f>IF(('Pl 2016-20 PFC'!F171)=0,"",'Pl 2016-20 PFC'!F171)</f>
        <v/>
      </c>
      <c r="G165" s="2097" t="str">
        <f>IF(('Pl 2016-20 PFC'!G171)=0,"",'Pl 2016-20 PFC'!G171)</f>
        <v/>
      </c>
      <c r="H165" s="2097" t="e">
        <f t="shared" si="8"/>
        <v>#VALUE!</v>
      </c>
      <c r="I165" s="2097" t="str">
        <f>IF(('Pl 2016-20 PFC'!H171)=0,"",'Pl 2016-20 PFC'!H171)</f>
        <v/>
      </c>
      <c r="J165" s="2097" t="str">
        <f>IF(('Pl 2016-20 PFC'!I171)=0,"",'Pl 2016-20 PFC'!I171)</f>
        <v/>
      </c>
      <c r="K165" s="938" t="e">
        <f>IF(('Pl 2016-20 PFC'!#REF!)=0,"",'Pl 2016-20 PFC'!#REF!)</f>
        <v>#REF!</v>
      </c>
      <c r="L165" s="991" t="e">
        <f t="shared" si="9"/>
        <v>#VALUE!</v>
      </c>
      <c r="M165" s="994"/>
      <c r="N165" s="994"/>
      <c r="O165" s="994"/>
      <c r="P165" s="994"/>
      <c r="Q165" s="994"/>
      <c r="R165" s="339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39"/>
      <c r="AC165" s="339"/>
      <c r="AD165" s="339"/>
      <c r="AE165" s="339"/>
      <c r="AF165" s="339"/>
      <c r="AG165" s="339"/>
      <c r="AH165" s="339"/>
      <c r="AI165" s="339"/>
      <c r="AJ165" s="339"/>
      <c r="AK165" s="339"/>
      <c r="AL165" s="339"/>
      <c r="AM165" s="339"/>
    </row>
    <row r="166" spans="1:39" s="341" customFormat="1" ht="15.75" hidden="1" customHeight="1">
      <c r="A166" s="2146"/>
      <c r="B166" s="2141" t="s">
        <v>165</v>
      </c>
      <c r="C166" s="2148"/>
      <c r="D166" s="346" t="str">
        <f>IF(('Pl 2016-20 PFC'!D172)=0,"",'Pl 2016-20 PFC'!D172)</f>
        <v/>
      </c>
      <c r="E166" s="938" t="str">
        <f>IF(('Pl 2016-20 PFC'!E172)=0,"",'Pl 2016-20 PFC'!E172)</f>
        <v/>
      </c>
      <c r="F166" s="938">
        <f>IF(('Pl 2016-20 PFC'!F172)=0,"",'Pl 2016-20 PFC'!F172)</f>
        <v>300000</v>
      </c>
      <c r="G166" s="2097">
        <f>IF(('Pl 2016-20 PFC'!G172)=0,"",'Pl 2016-20 PFC'!G172)</f>
        <v>300000</v>
      </c>
      <c r="H166" s="2097">
        <f t="shared" si="8"/>
        <v>0</v>
      </c>
      <c r="I166" s="2097" t="str">
        <f>IF(('Pl 2016-20 PFC'!H172)=0,"",'Pl 2016-20 PFC'!H172)</f>
        <v/>
      </c>
      <c r="J166" s="2097">
        <f>IF(('Pl 2016-20 PFC'!I172)=0,"",'Pl 2016-20 PFC'!I172)</f>
        <v>300000</v>
      </c>
      <c r="K166" s="938" t="e">
        <f>IF(('Pl 2016-20 PFC'!#REF!)=0,"",'Pl 2016-20 PFC'!#REF!)</f>
        <v>#REF!</v>
      </c>
      <c r="L166" s="991" t="e">
        <f t="shared" si="9"/>
        <v>#VALUE!</v>
      </c>
      <c r="M166" s="994"/>
      <c r="N166" s="994"/>
      <c r="O166" s="994"/>
      <c r="P166" s="994"/>
      <c r="Q166" s="994"/>
      <c r="R166" s="339"/>
      <c r="S166" s="339"/>
      <c r="T166" s="339"/>
      <c r="U166" s="339"/>
      <c r="V166" s="339"/>
      <c r="W166" s="339"/>
      <c r="X166" s="339"/>
      <c r="Y166" s="339"/>
      <c r="Z166" s="339"/>
      <c r="AA166" s="339"/>
      <c r="AB166" s="339"/>
      <c r="AC166" s="339"/>
      <c r="AD166" s="339"/>
      <c r="AE166" s="339"/>
      <c r="AF166" s="339"/>
      <c r="AG166" s="339"/>
      <c r="AH166" s="339"/>
      <c r="AI166" s="339"/>
      <c r="AJ166" s="339"/>
      <c r="AK166" s="339"/>
      <c r="AL166" s="339"/>
      <c r="AM166" s="339"/>
    </row>
    <row r="167" spans="1:39" s="341" customFormat="1" ht="15.75" hidden="1" customHeight="1">
      <c r="A167" s="2146"/>
      <c r="B167" s="2141" t="s">
        <v>178</v>
      </c>
      <c r="C167" s="2148"/>
      <c r="D167" s="346" t="str">
        <f>IF(('Pl 2016-20 PFC'!D173)=0,"",'Pl 2016-20 PFC'!D173)</f>
        <v/>
      </c>
      <c r="E167" s="938" t="str">
        <f>IF(('Pl 2016-20 PFC'!E173)=0,"",'Pl 2016-20 PFC'!E173)</f>
        <v/>
      </c>
      <c r="F167" s="938" t="str">
        <f>IF(('Pl 2016-20 PFC'!F173)=0,"",'Pl 2016-20 PFC'!F173)</f>
        <v/>
      </c>
      <c r="G167" s="2097" t="str">
        <f>IF(('Pl 2016-20 PFC'!G173)=0,"",'Pl 2016-20 PFC'!G173)</f>
        <v/>
      </c>
      <c r="H167" s="2097" t="e">
        <f t="shared" si="8"/>
        <v>#VALUE!</v>
      </c>
      <c r="I167" s="2097" t="str">
        <f>IF(('Pl 2016-20 PFC'!H173)=0,"",'Pl 2016-20 PFC'!H173)</f>
        <v/>
      </c>
      <c r="J167" s="2097" t="str">
        <f>IF(('Pl 2016-20 PFC'!I173)=0,"",'Pl 2016-20 PFC'!I173)</f>
        <v/>
      </c>
      <c r="K167" s="938" t="e">
        <f>IF(('Pl 2016-20 PFC'!#REF!)=0,"",'Pl 2016-20 PFC'!#REF!)</f>
        <v>#REF!</v>
      </c>
      <c r="L167" s="991" t="e">
        <f t="shared" si="9"/>
        <v>#VALUE!</v>
      </c>
      <c r="M167" s="994"/>
      <c r="N167" s="994"/>
      <c r="O167" s="994"/>
      <c r="P167" s="994"/>
      <c r="Q167" s="994"/>
      <c r="R167" s="339"/>
      <c r="S167" s="339"/>
      <c r="T167" s="339"/>
      <c r="U167" s="339"/>
      <c r="V167" s="339"/>
      <c r="W167" s="339"/>
      <c r="X167" s="339"/>
      <c r="Y167" s="339"/>
      <c r="Z167" s="339"/>
      <c r="AA167" s="339"/>
      <c r="AB167" s="339"/>
      <c r="AC167" s="339"/>
      <c r="AD167" s="339"/>
      <c r="AE167" s="339"/>
      <c r="AF167" s="339"/>
      <c r="AG167" s="339"/>
      <c r="AH167" s="339"/>
      <c r="AI167" s="339"/>
      <c r="AJ167" s="339"/>
      <c r="AK167" s="339"/>
      <c r="AL167" s="339"/>
      <c r="AM167" s="339"/>
    </row>
    <row r="168" spans="1:39" s="341" customFormat="1" ht="15.75" hidden="1" customHeight="1">
      <c r="A168" s="2146"/>
      <c r="B168" s="2141" t="s">
        <v>163</v>
      </c>
      <c r="C168" s="2148"/>
      <c r="D168" s="346" t="str">
        <f>IF(('Pl 2016-20 PFC'!D174)=0,"",'Pl 2016-20 PFC'!D174)</f>
        <v/>
      </c>
      <c r="E168" s="938" t="str">
        <f>IF(('Pl 2016-20 PFC'!E174)=0,"",'Pl 2016-20 PFC'!E174)</f>
        <v/>
      </c>
      <c r="F168" s="938" t="str">
        <f>IF(('Pl 2016-20 PFC'!F174)=0,"",'Pl 2016-20 PFC'!F174)</f>
        <v/>
      </c>
      <c r="G168" s="2097" t="str">
        <f>IF(('Pl 2016-20 PFC'!G174)=0,"",'Pl 2016-20 PFC'!G174)</f>
        <v/>
      </c>
      <c r="H168" s="2097" t="e">
        <f t="shared" si="8"/>
        <v>#VALUE!</v>
      </c>
      <c r="I168" s="2097" t="str">
        <f>IF(('Pl 2016-20 PFC'!H174)=0,"",'Pl 2016-20 PFC'!H174)</f>
        <v/>
      </c>
      <c r="J168" s="2097" t="str">
        <f>IF(('Pl 2016-20 PFC'!I174)=0,"",'Pl 2016-20 PFC'!I174)</f>
        <v/>
      </c>
      <c r="K168" s="938" t="e">
        <f>IF(('Pl 2016-20 PFC'!#REF!)=0,"",'Pl 2016-20 PFC'!#REF!)</f>
        <v>#REF!</v>
      </c>
      <c r="L168" s="991" t="e">
        <f t="shared" si="9"/>
        <v>#VALUE!</v>
      </c>
      <c r="M168" s="994"/>
      <c r="N168" s="994"/>
      <c r="O168" s="994"/>
      <c r="P168" s="994"/>
      <c r="Q168" s="994"/>
      <c r="R168" s="339"/>
      <c r="S168" s="339"/>
      <c r="T168" s="339"/>
      <c r="U168" s="339"/>
      <c r="V168" s="339"/>
      <c r="W168" s="339"/>
      <c r="X168" s="339"/>
      <c r="Y168" s="339"/>
      <c r="Z168" s="339"/>
      <c r="AA168" s="339"/>
      <c r="AB168" s="339"/>
      <c r="AC168" s="339"/>
      <c r="AD168" s="339"/>
      <c r="AE168" s="339"/>
      <c r="AF168" s="339"/>
      <c r="AG168" s="339"/>
      <c r="AH168" s="339"/>
      <c r="AI168" s="339"/>
      <c r="AJ168" s="339"/>
      <c r="AK168" s="339"/>
      <c r="AL168" s="339"/>
      <c r="AM168" s="339"/>
    </row>
    <row r="169" spans="1:39" s="341" customFormat="1" ht="15.75" hidden="1" customHeight="1">
      <c r="A169" s="2146"/>
      <c r="B169" s="2141" t="s">
        <v>161</v>
      </c>
      <c r="C169" s="2148"/>
      <c r="D169" s="346" t="str">
        <f>IF(('Pl 2016-20 PFC'!D175)=0,"",'Pl 2016-20 PFC'!D175)</f>
        <v/>
      </c>
      <c r="E169" s="938" t="str">
        <f>IF(('Pl 2016-20 PFC'!E175)=0,"",'Pl 2016-20 PFC'!E175)</f>
        <v/>
      </c>
      <c r="F169" s="938" t="str">
        <f>IF(('Pl 2016-20 PFC'!F175)=0,"",'Pl 2016-20 PFC'!F175)</f>
        <v/>
      </c>
      <c r="G169" s="2097" t="str">
        <f>IF(('Pl 2016-20 PFC'!G175)=0,"",'Pl 2016-20 PFC'!G175)</f>
        <v/>
      </c>
      <c r="H169" s="2097" t="e">
        <f t="shared" si="8"/>
        <v>#VALUE!</v>
      </c>
      <c r="I169" s="2097" t="str">
        <f>IF(('Pl 2016-20 PFC'!H175)=0,"",'Pl 2016-20 PFC'!H175)</f>
        <v/>
      </c>
      <c r="J169" s="2097" t="str">
        <f>IF(('Pl 2016-20 PFC'!I175)=0,"",'Pl 2016-20 PFC'!I175)</f>
        <v/>
      </c>
      <c r="K169" s="938" t="e">
        <f>IF(('Pl 2016-20 PFC'!#REF!)=0,"",'Pl 2016-20 PFC'!#REF!)</f>
        <v>#REF!</v>
      </c>
      <c r="L169" s="991" t="e">
        <f t="shared" si="9"/>
        <v>#VALUE!</v>
      </c>
      <c r="M169" s="994"/>
      <c r="N169" s="994"/>
      <c r="O169" s="994"/>
      <c r="P169" s="994"/>
      <c r="Q169" s="994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39"/>
      <c r="AC169" s="339"/>
      <c r="AD169" s="339"/>
      <c r="AE169" s="339"/>
      <c r="AF169" s="339"/>
      <c r="AG169" s="339"/>
      <c r="AH169" s="339"/>
      <c r="AI169" s="339"/>
      <c r="AJ169" s="339"/>
      <c r="AK169" s="339"/>
      <c r="AL169" s="339"/>
      <c r="AM169" s="339"/>
    </row>
    <row r="170" spans="1:39" s="341" customFormat="1" ht="15.75" hidden="1" customHeight="1">
      <c r="A170" s="2146"/>
      <c r="B170" s="2141" t="s">
        <v>378</v>
      </c>
      <c r="C170" s="2148"/>
      <c r="D170" s="346" t="str">
        <f>IF(('Pl 2016-20 PFC'!D176)=0,"",'Pl 2016-20 PFC'!D176)</f>
        <v/>
      </c>
      <c r="E170" s="938" t="str">
        <f>IF(('Pl 2016-20 PFC'!E176)=0,"",'Pl 2016-20 PFC'!E176)</f>
        <v/>
      </c>
      <c r="F170" s="938" t="str">
        <f>IF(('Pl 2016-20 PFC'!F176)=0,"",'Pl 2016-20 PFC'!F176)</f>
        <v/>
      </c>
      <c r="G170" s="2097" t="str">
        <f>IF(('Pl 2016-20 PFC'!G176)=0,"",'Pl 2016-20 PFC'!G176)</f>
        <v/>
      </c>
      <c r="H170" s="2097" t="e">
        <f t="shared" si="8"/>
        <v>#VALUE!</v>
      </c>
      <c r="I170" s="2097" t="str">
        <f>IF(('Pl 2016-20 PFC'!H176)=0,"",'Pl 2016-20 PFC'!H176)</f>
        <v/>
      </c>
      <c r="J170" s="2097" t="str">
        <f>IF(('Pl 2016-20 PFC'!I176)=0,"",'Pl 2016-20 PFC'!I176)</f>
        <v/>
      </c>
      <c r="K170" s="938" t="e">
        <f>IF(('Pl 2016-20 PFC'!#REF!)=0,"",'Pl 2016-20 PFC'!#REF!)</f>
        <v>#REF!</v>
      </c>
      <c r="L170" s="991" t="e">
        <f t="shared" si="9"/>
        <v>#VALUE!</v>
      </c>
      <c r="M170" s="994"/>
      <c r="N170" s="994"/>
      <c r="O170" s="994"/>
      <c r="P170" s="994"/>
      <c r="Q170" s="994"/>
      <c r="R170" s="339"/>
      <c r="S170" s="339"/>
      <c r="T170" s="339"/>
      <c r="U170" s="339"/>
      <c r="V170" s="339"/>
      <c r="W170" s="339"/>
      <c r="X170" s="339"/>
      <c r="Y170" s="339"/>
      <c r="Z170" s="339"/>
      <c r="AA170" s="339"/>
      <c r="AB170" s="339"/>
      <c r="AC170" s="339"/>
      <c r="AD170" s="339"/>
      <c r="AE170" s="339"/>
      <c r="AF170" s="339"/>
      <c r="AG170" s="339"/>
      <c r="AH170" s="339"/>
      <c r="AI170" s="339"/>
      <c r="AJ170" s="339"/>
      <c r="AK170" s="339"/>
      <c r="AL170" s="339"/>
      <c r="AM170" s="339"/>
    </row>
    <row r="171" spans="1:39" s="341" customFormat="1" ht="15.75" hidden="1" customHeight="1">
      <c r="A171" s="2146"/>
      <c r="B171" s="2141" t="s">
        <v>386</v>
      </c>
      <c r="C171" s="2148"/>
      <c r="D171" s="346">
        <f>IF(('Pl 2016-20 PFC'!D177)=0,"",'Pl 2016-20 PFC'!D177)</f>
        <v>1500000</v>
      </c>
      <c r="E171" s="938">
        <f>IF(('Pl 2016-20 PFC'!E177)=0,"",'Pl 2016-20 PFC'!E177)</f>
        <v>1500000</v>
      </c>
      <c r="F171" s="938">
        <f>IF(('Pl 2016-20 PFC'!F177)=0,"",'Pl 2016-20 PFC'!F177)</f>
        <v>1500000</v>
      </c>
      <c r="G171" s="2097">
        <f>IF(('Pl 2016-20 PFC'!G177)=0,"",'Pl 2016-20 PFC'!G177)</f>
        <v>1500000</v>
      </c>
      <c r="H171" s="2097">
        <f t="shared" si="8"/>
        <v>0</v>
      </c>
      <c r="I171" s="2097" t="str">
        <f>IF(('Pl 2016-20 PFC'!H177)=0,"",'Pl 2016-20 PFC'!H177)</f>
        <v/>
      </c>
      <c r="J171" s="2097">
        <f>IF(('Pl 2016-20 PFC'!I177)=0,"",'Pl 2016-20 PFC'!I177)</f>
        <v>1500000</v>
      </c>
      <c r="K171" s="938" t="e">
        <f>IF(('Pl 2016-20 PFC'!#REF!)=0,"",'Pl 2016-20 PFC'!#REF!)</f>
        <v>#REF!</v>
      </c>
      <c r="L171" s="991">
        <f t="shared" si="9"/>
        <v>100</v>
      </c>
      <c r="M171" s="994"/>
      <c r="N171" s="994"/>
      <c r="O171" s="994"/>
      <c r="P171" s="994"/>
      <c r="Q171" s="994"/>
      <c r="R171" s="339"/>
      <c r="S171" s="339"/>
      <c r="T171" s="339"/>
      <c r="U171" s="339"/>
      <c r="V171" s="339"/>
      <c r="W171" s="339"/>
      <c r="X171" s="339"/>
      <c r="Y171" s="339"/>
      <c r="Z171" s="339"/>
      <c r="AA171" s="339"/>
      <c r="AB171" s="339"/>
      <c r="AC171" s="339"/>
      <c r="AD171" s="339"/>
      <c r="AE171" s="339"/>
      <c r="AF171" s="339"/>
      <c r="AG171" s="339"/>
      <c r="AH171" s="339"/>
      <c r="AI171" s="339"/>
      <c r="AJ171" s="339"/>
      <c r="AK171" s="339"/>
      <c r="AL171" s="339"/>
      <c r="AM171" s="339"/>
    </row>
    <row r="172" spans="1:39" s="341" customFormat="1" ht="15.75" hidden="1" customHeight="1">
      <c r="A172" s="2146"/>
      <c r="B172" s="2141" t="s">
        <v>387</v>
      </c>
      <c r="C172" s="2148"/>
      <c r="D172" s="346">
        <f>IF(('Pl 2016-20 PFC'!D178)=0,"",'Pl 2016-20 PFC'!D178)</f>
        <v>1200000</v>
      </c>
      <c r="E172" s="938">
        <f>IF(('Pl 2016-20 PFC'!E178)=0,"",'Pl 2016-20 PFC'!E178)</f>
        <v>1200000</v>
      </c>
      <c r="F172" s="938">
        <f>IF(('Pl 2016-20 PFC'!F178)=0,"",'Pl 2016-20 PFC'!F178)</f>
        <v>1800000</v>
      </c>
      <c r="G172" s="2097">
        <f>IF(('Pl 2016-20 PFC'!G178)=0,"",'Pl 2016-20 PFC'!G178)</f>
        <v>1800000</v>
      </c>
      <c r="H172" s="2097">
        <f t="shared" si="8"/>
        <v>0</v>
      </c>
      <c r="I172" s="2097" t="str">
        <f>IF(('Pl 2016-20 PFC'!H178)=0,"",'Pl 2016-20 PFC'!H178)</f>
        <v/>
      </c>
      <c r="J172" s="2097">
        <f>IF(('Pl 2016-20 PFC'!I178)=0,"",'Pl 2016-20 PFC'!I178)</f>
        <v>1800000</v>
      </c>
      <c r="K172" s="938" t="e">
        <f>IF(('Pl 2016-20 PFC'!#REF!)=0,"",'Pl 2016-20 PFC'!#REF!)</f>
        <v>#REF!</v>
      </c>
      <c r="L172" s="991">
        <f t="shared" si="9"/>
        <v>150</v>
      </c>
      <c r="M172" s="994"/>
      <c r="N172" s="994"/>
      <c r="O172" s="994"/>
      <c r="P172" s="994"/>
      <c r="Q172" s="994"/>
      <c r="R172" s="339"/>
      <c r="S172" s="339"/>
      <c r="T172" s="339"/>
      <c r="U172" s="339"/>
      <c r="V172" s="339"/>
      <c r="W172" s="339"/>
      <c r="X172" s="339"/>
      <c r="Y172" s="339"/>
      <c r="Z172" s="339"/>
      <c r="AA172" s="339"/>
      <c r="AB172" s="339"/>
      <c r="AC172" s="339"/>
      <c r="AD172" s="339"/>
      <c r="AE172" s="339"/>
      <c r="AF172" s="339"/>
      <c r="AG172" s="339"/>
      <c r="AH172" s="339"/>
      <c r="AI172" s="339"/>
      <c r="AJ172" s="339"/>
      <c r="AK172" s="339"/>
      <c r="AL172" s="339"/>
      <c r="AM172" s="339"/>
    </row>
    <row r="173" spans="1:39" s="341" customFormat="1" ht="15.75" hidden="1" customHeight="1">
      <c r="A173" s="2146"/>
      <c r="B173" s="2141" t="s">
        <v>181</v>
      </c>
      <c r="C173" s="2148"/>
      <c r="D173" s="346">
        <f>IF(('Pl 2016-20 PFC'!D179)=0,"",'Pl 2016-20 PFC'!D179)</f>
        <v>4500000</v>
      </c>
      <c r="E173" s="938">
        <f>IF(('Pl 2016-20 PFC'!E179)=0,"",'Pl 2016-20 PFC'!E179)</f>
        <v>4500000</v>
      </c>
      <c r="F173" s="938" t="str">
        <f>IF(('Pl 2016-20 PFC'!F179)=0,"",'Pl 2016-20 PFC'!F179)</f>
        <v/>
      </c>
      <c r="G173" s="2097" t="str">
        <f>IF(('Pl 2016-20 PFC'!G179)=0,"",'Pl 2016-20 PFC'!G179)</f>
        <v/>
      </c>
      <c r="H173" s="2097" t="e">
        <f t="shared" si="8"/>
        <v>#VALUE!</v>
      </c>
      <c r="I173" s="2097" t="str">
        <f>IF(('Pl 2016-20 PFC'!H179)=0,"",'Pl 2016-20 PFC'!H179)</f>
        <v/>
      </c>
      <c r="J173" s="2097" t="str">
        <f>IF(('Pl 2016-20 PFC'!I179)=0,"",'Pl 2016-20 PFC'!I179)</f>
        <v/>
      </c>
      <c r="K173" s="938" t="e">
        <f>IF(('Pl 2016-20 PFC'!#REF!)=0,"",'Pl 2016-20 PFC'!#REF!)</f>
        <v>#REF!</v>
      </c>
      <c r="L173" s="991" t="e">
        <f t="shared" si="9"/>
        <v>#VALUE!</v>
      </c>
      <c r="M173" s="994"/>
      <c r="N173" s="994"/>
      <c r="O173" s="994"/>
      <c r="P173" s="994"/>
      <c r="Q173" s="994"/>
      <c r="R173" s="339"/>
      <c r="S173" s="339"/>
      <c r="T173" s="339"/>
      <c r="U173" s="339"/>
      <c r="V173" s="339"/>
      <c r="W173" s="339"/>
      <c r="X173" s="339"/>
      <c r="Y173" s="339"/>
      <c r="Z173" s="339"/>
      <c r="AA173" s="339"/>
      <c r="AB173" s="339"/>
      <c r="AC173" s="339"/>
      <c r="AD173" s="339"/>
      <c r="AE173" s="339"/>
      <c r="AF173" s="339"/>
      <c r="AG173" s="339"/>
      <c r="AH173" s="339"/>
      <c r="AI173" s="339"/>
      <c r="AJ173" s="339"/>
      <c r="AK173" s="339"/>
      <c r="AL173" s="339"/>
      <c r="AM173" s="339"/>
    </row>
    <row r="174" spans="1:39" s="341" customFormat="1" ht="15.75" hidden="1" customHeight="1">
      <c r="A174" s="2146"/>
      <c r="B174" s="2141" t="s">
        <v>182</v>
      </c>
      <c r="C174" s="2148"/>
      <c r="D174" s="346" t="str">
        <f>IF(('Pl 2016-20 PFC'!D180)=0,"",'Pl 2016-20 PFC'!D180)</f>
        <v/>
      </c>
      <c r="E174" s="938" t="str">
        <f>IF(('Pl 2016-20 PFC'!E180)=0,"",'Pl 2016-20 PFC'!E180)</f>
        <v/>
      </c>
      <c r="F174" s="938" t="str">
        <f>IF(('Pl 2016-20 PFC'!F180)=0,"",'Pl 2016-20 PFC'!F180)</f>
        <v/>
      </c>
      <c r="G174" s="2097" t="str">
        <f>IF(('Pl 2016-20 PFC'!G180)=0,"",'Pl 2016-20 PFC'!G180)</f>
        <v/>
      </c>
      <c r="H174" s="2097" t="e">
        <f t="shared" si="8"/>
        <v>#VALUE!</v>
      </c>
      <c r="I174" s="2097" t="str">
        <f>IF(('Pl 2016-20 PFC'!H180)=0,"",'Pl 2016-20 PFC'!H180)</f>
        <v/>
      </c>
      <c r="J174" s="2097" t="str">
        <f>IF(('Pl 2016-20 PFC'!I180)=0,"",'Pl 2016-20 PFC'!I180)</f>
        <v/>
      </c>
      <c r="K174" s="938" t="e">
        <f>IF(('Pl 2016-20 PFC'!#REF!)=0,"",'Pl 2016-20 PFC'!#REF!)</f>
        <v>#REF!</v>
      </c>
      <c r="L174" s="991" t="e">
        <f t="shared" si="9"/>
        <v>#VALUE!</v>
      </c>
      <c r="M174" s="994"/>
      <c r="N174" s="994"/>
      <c r="O174" s="994"/>
      <c r="P174" s="994"/>
      <c r="Q174" s="994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  <c r="AB174" s="339"/>
      <c r="AC174" s="339"/>
      <c r="AD174" s="339"/>
      <c r="AE174" s="339"/>
      <c r="AF174" s="339"/>
      <c r="AG174" s="339"/>
      <c r="AH174" s="339"/>
      <c r="AI174" s="339"/>
      <c r="AJ174" s="339"/>
      <c r="AK174" s="339"/>
      <c r="AL174" s="339"/>
      <c r="AM174" s="339"/>
    </row>
    <row r="175" spans="1:39" s="341" customFormat="1" ht="15.75" hidden="1" customHeight="1">
      <c r="A175" s="2146"/>
      <c r="B175" s="2141"/>
      <c r="C175" s="2148"/>
      <c r="D175" s="346"/>
      <c r="E175" s="938"/>
      <c r="F175" s="938"/>
      <c r="G175" s="2097"/>
      <c r="H175" s="2097">
        <f t="shared" si="8"/>
        <v>0</v>
      </c>
      <c r="I175" s="2097"/>
      <c r="J175" s="2097"/>
      <c r="K175" s="938"/>
      <c r="L175" s="991" t="e">
        <f t="shared" si="9"/>
        <v>#DIV/0!</v>
      </c>
      <c r="M175" s="994"/>
      <c r="N175" s="994"/>
      <c r="O175" s="994"/>
      <c r="P175" s="994"/>
      <c r="Q175" s="994"/>
      <c r="R175" s="339"/>
      <c r="S175" s="339"/>
      <c r="T175" s="339"/>
      <c r="U175" s="339"/>
      <c r="V175" s="339"/>
      <c r="W175" s="339"/>
      <c r="X175" s="339"/>
      <c r="Y175" s="339"/>
      <c r="Z175" s="339"/>
      <c r="AA175" s="339"/>
      <c r="AB175" s="339"/>
      <c r="AC175" s="339"/>
      <c r="AD175" s="339"/>
      <c r="AE175" s="339"/>
      <c r="AF175" s="339"/>
      <c r="AG175" s="339"/>
      <c r="AH175" s="339"/>
      <c r="AI175" s="339"/>
      <c r="AJ175" s="339"/>
      <c r="AK175" s="339"/>
      <c r="AL175" s="339"/>
      <c r="AM175" s="339"/>
    </row>
    <row r="176" spans="1:39" s="334" customFormat="1" ht="18">
      <c r="A176" s="2146">
        <v>2</v>
      </c>
      <c r="B176" s="2141" t="s">
        <v>388</v>
      </c>
      <c r="C176" s="2148" t="s">
        <v>81</v>
      </c>
      <c r="D176" s="346">
        <f>D178+D192</f>
        <v>5466000</v>
      </c>
      <c r="E176" s="938">
        <f>E178+E192</f>
        <v>5366000</v>
      </c>
      <c r="F176" s="938">
        <f>F178+F192</f>
        <v>6282000</v>
      </c>
      <c r="G176" s="2097">
        <f>G178+G192</f>
        <v>6282000</v>
      </c>
      <c r="H176" s="2097">
        <f t="shared" si="8"/>
        <v>0</v>
      </c>
      <c r="I176" s="2097">
        <f>I178+I192</f>
        <v>0</v>
      </c>
      <c r="J176" s="2097">
        <f>J178+J192</f>
        <v>6282000</v>
      </c>
      <c r="K176" s="938" t="e">
        <f>K178+K192</f>
        <v>#REF!</v>
      </c>
      <c r="L176" s="991">
        <f t="shared" si="9"/>
        <v>117.07044353335819</v>
      </c>
      <c r="M176" s="986"/>
      <c r="N176" s="986"/>
      <c r="O176" s="986"/>
      <c r="P176" s="986"/>
      <c r="Q176" s="986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  <c r="AB176" s="307"/>
      <c r="AC176" s="307"/>
      <c r="AD176" s="307"/>
      <c r="AE176" s="307"/>
      <c r="AF176" s="307"/>
      <c r="AG176" s="307"/>
      <c r="AH176" s="307"/>
      <c r="AI176" s="307"/>
      <c r="AJ176" s="307"/>
      <c r="AK176" s="307"/>
      <c r="AL176" s="307"/>
      <c r="AM176" s="307"/>
    </row>
    <row r="177" spans="1:41" s="336" customFormat="1" ht="18" hidden="1">
      <c r="A177" s="2146" t="s">
        <v>20</v>
      </c>
      <c r="B177" s="2141" t="s">
        <v>389</v>
      </c>
      <c r="C177" s="2148" t="s">
        <v>185</v>
      </c>
      <c r="D177" s="346">
        <f>'Pl 2016-20 PFC'!D184</f>
        <v>1750000</v>
      </c>
      <c r="E177" s="938">
        <f>'Pl 2016-20 PFC'!E184</f>
        <v>1650000</v>
      </c>
      <c r="F177" s="938">
        <f>'Pl 2016-20 PFC'!F184</f>
        <v>2500000</v>
      </c>
      <c r="G177" s="2097">
        <f>'Pl 2016-20 PFC'!G184</f>
        <v>2500000</v>
      </c>
      <c r="H177" s="2097">
        <f t="shared" si="8"/>
        <v>0</v>
      </c>
      <c r="I177" s="2097">
        <f>'Pl 2016-20 PFC'!H184</f>
        <v>0</v>
      </c>
      <c r="J177" s="2097">
        <f>'Pl 2016-20 PFC'!I184</f>
        <v>2500000</v>
      </c>
      <c r="K177" s="938" t="e">
        <f>'Pl 2016-20 PFC'!#REF!</f>
        <v>#REF!</v>
      </c>
      <c r="L177" s="991">
        <f t="shared" si="9"/>
        <v>151.5151515151515</v>
      </c>
      <c r="M177" s="986"/>
      <c r="N177" s="986"/>
      <c r="O177" s="986"/>
      <c r="P177" s="986"/>
      <c r="Q177" s="986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  <c r="AB177" s="307"/>
      <c r="AC177" s="307"/>
      <c r="AD177" s="307"/>
      <c r="AE177" s="307"/>
      <c r="AF177" s="307"/>
      <c r="AG177" s="307"/>
      <c r="AH177" s="307"/>
      <c r="AI177" s="307"/>
      <c r="AJ177" s="307"/>
      <c r="AK177" s="307"/>
      <c r="AL177" s="307"/>
      <c r="AM177" s="307"/>
      <c r="AN177" s="334"/>
      <c r="AO177" s="334"/>
    </row>
    <row r="178" spans="1:41" ht="18">
      <c r="A178" s="2146" t="s">
        <v>20</v>
      </c>
      <c r="B178" s="2141" t="s">
        <v>390</v>
      </c>
      <c r="C178" s="2148" t="s">
        <v>185</v>
      </c>
      <c r="D178" s="346">
        <f>SUM(D179:D179,D190)+'Pl 2016-20 PFC'!D184</f>
        <v>1750000</v>
      </c>
      <c r="E178" s="938">
        <f>SUM(E179:E179,E190)+'Pl 2016-20 PFC'!E184</f>
        <v>1650000</v>
      </c>
      <c r="F178" s="938">
        <f>SUM(F179:F179,F190)+'Pl 2016-20 PFC'!F184</f>
        <v>2500000</v>
      </c>
      <c r="G178" s="2097">
        <f>SUM(G179:G179,G190)+'Pl 2016-20 PFC'!G184</f>
        <v>2500000</v>
      </c>
      <c r="H178" s="2097">
        <f t="shared" si="8"/>
        <v>0</v>
      </c>
      <c r="I178" s="2097">
        <f>SUM(I179:I179,I190)+'Pl 2016-20 PFC'!H184</f>
        <v>0</v>
      </c>
      <c r="J178" s="2097">
        <f>SUM(J179:J179,J190)+'Pl 2016-20 PFC'!I184</f>
        <v>2500000</v>
      </c>
      <c r="K178" s="938" t="e">
        <f>SUM(K179:K179,K190)+'Pl 2016-20 PFC'!#REF!</f>
        <v>#REF!</v>
      </c>
      <c r="L178" s="991">
        <f t="shared" si="9"/>
        <v>151.5151515151515</v>
      </c>
      <c r="M178" s="986"/>
      <c r="N178" s="986"/>
      <c r="O178" s="986"/>
      <c r="P178" s="986"/>
      <c r="Q178" s="986"/>
    </row>
    <row r="179" spans="1:41" ht="18" hidden="1">
      <c r="A179" s="2146"/>
      <c r="B179" s="2141" t="s">
        <v>385</v>
      </c>
      <c r="C179" s="2148" t="s">
        <v>185</v>
      </c>
      <c r="D179" s="346">
        <f>SUM(D180:D189)</f>
        <v>0</v>
      </c>
      <c r="E179" s="938">
        <f>SUM(E180:E189)</f>
        <v>0</v>
      </c>
      <c r="F179" s="938">
        <f>SUM(F180:F189)</f>
        <v>0</v>
      </c>
      <c r="G179" s="2097">
        <f>SUM(G180:G189)</f>
        <v>0</v>
      </c>
      <c r="H179" s="2097">
        <f t="shared" si="8"/>
        <v>0</v>
      </c>
      <c r="I179" s="2097">
        <f>SUM(I180:I189)</f>
        <v>0</v>
      </c>
      <c r="J179" s="2097">
        <f>SUM(J180:J189)</f>
        <v>0</v>
      </c>
      <c r="K179" s="938" t="e">
        <f>SUM(K180:K189)</f>
        <v>#REF!</v>
      </c>
      <c r="L179" s="991" t="e">
        <f t="shared" si="9"/>
        <v>#DIV/0!</v>
      </c>
      <c r="M179" s="986"/>
      <c r="N179" s="986"/>
      <c r="O179" s="986"/>
      <c r="P179" s="986"/>
      <c r="Q179" s="986"/>
    </row>
    <row r="180" spans="1:41" ht="18" hidden="1">
      <c r="A180" s="2146"/>
      <c r="B180" s="2141" t="s">
        <v>155</v>
      </c>
      <c r="C180" s="2148"/>
      <c r="D180" s="346" t="str">
        <f>IF(('Pl 2016-20 PFC'!D186)=0,"0",'Pl 2016-20 PFC'!D186)</f>
        <v>0</v>
      </c>
      <c r="E180" s="938" t="str">
        <f>IF(('Pl 2016-20 PFC'!E186)=0,"0",'Pl 2016-20 PFC'!E186)</f>
        <v>0</v>
      </c>
      <c r="F180" s="938" t="str">
        <f>IF(('Pl 2016-20 PFC'!F186)=0,"0",'Pl 2016-20 PFC'!F186)</f>
        <v>0</v>
      </c>
      <c r="G180" s="2097" t="str">
        <f>IF(('Pl 2016-20 PFC'!G186)=0,"0",'Pl 2016-20 PFC'!G186)</f>
        <v>0</v>
      </c>
      <c r="H180" s="2097">
        <f t="shared" ref="H180:H262" si="10">G180-F180</f>
        <v>0</v>
      </c>
      <c r="I180" s="2097" t="str">
        <f>IF(('Pl 2016-20 PFC'!H186)=0,"0",'Pl 2016-20 PFC'!H186)</f>
        <v>0</v>
      </c>
      <c r="J180" s="2097" t="str">
        <f>IF(('Pl 2016-20 PFC'!I186)=0,"0",'Pl 2016-20 PFC'!I186)</f>
        <v>0</v>
      </c>
      <c r="K180" s="938" t="e">
        <f>IF(('Pl 2016-20 PFC'!#REF!)=0,"0",'Pl 2016-20 PFC'!#REF!)</f>
        <v>#REF!</v>
      </c>
      <c r="L180" s="991" t="e">
        <f t="shared" si="9"/>
        <v>#DIV/0!</v>
      </c>
      <c r="M180" s="986"/>
      <c r="N180" s="986"/>
      <c r="O180" s="986"/>
      <c r="P180" s="986"/>
      <c r="Q180" s="986"/>
    </row>
    <row r="181" spans="1:41" ht="18" hidden="1">
      <c r="A181" s="2146"/>
      <c r="B181" s="2141" t="s">
        <v>391</v>
      </c>
      <c r="C181" s="2148"/>
      <c r="D181" s="346" t="str">
        <f>IF(('Pl 2016-20 PFC'!D188)=0,"0",'Pl 2016-20 PFC'!D188)</f>
        <v>0</v>
      </c>
      <c r="E181" s="938" t="str">
        <f>IF(('Pl 2016-20 PFC'!E188)=0,"0",'Pl 2016-20 PFC'!E188)</f>
        <v>0</v>
      </c>
      <c r="F181" s="938" t="str">
        <f>IF(('Pl 2016-20 PFC'!F188)=0,"0",'Pl 2016-20 PFC'!F188)</f>
        <v>0</v>
      </c>
      <c r="G181" s="2097" t="str">
        <f>IF(('Pl 2016-20 PFC'!G188)=0,"0",'Pl 2016-20 PFC'!G188)</f>
        <v>0</v>
      </c>
      <c r="H181" s="2097">
        <f t="shared" si="10"/>
        <v>0</v>
      </c>
      <c r="I181" s="2097" t="str">
        <f>IF(('Pl 2016-20 PFC'!H188)=0,"0",'Pl 2016-20 PFC'!H188)</f>
        <v>0</v>
      </c>
      <c r="J181" s="2097" t="str">
        <f>IF(('Pl 2016-20 PFC'!I188)=0,"0",'Pl 2016-20 PFC'!I188)</f>
        <v>0</v>
      </c>
      <c r="K181" s="938" t="e">
        <f>IF(('Pl 2016-20 PFC'!#REF!)=0,"0",'Pl 2016-20 PFC'!#REF!)</f>
        <v>#REF!</v>
      </c>
      <c r="L181" s="991" t="e">
        <f t="shared" si="9"/>
        <v>#DIV/0!</v>
      </c>
      <c r="M181" s="986"/>
      <c r="N181" s="986"/>
      <c r="O181" s="986"/>
      <c r="P181" s="986"/>
      <c r="Q181" s="986"/>
    </row>
    <row r="182" spans="1:41" ht="18" hidden="1">
      <c r="A182" s="2146"/>
      <c r="B182" s="2141" t="s">
        <v>153</v>
      </c>
      <c r="C182" s="2148"/>
      <c r="D182" s="346" t="str">
        <f>IF(('Pl 2016-20 PFC'!D187)=0,"0",'Pl 2016-20 PFC'!D187)</f>
        <v>0</v>
      </c>
      <c r="E182" s="938" t="str">
        <f>IF(('Pl 2016-20 PFC'!E187)=0,"0",'Pl 2016-20 PFC'!E187)</f>
        <v>0</v>
      </c>
      <c r="F182" s="938" t="str">
        <f>IF(('Pl 2016-20 PFC'!F187)=0,"0",'Pl 2016-20 PFC'!F187)</f>
        <v>0</v>
      </c>
      <c r="G182" s="2097" t="str">
        <f>IF(('Pl 2016-20 PFC'!G187)=0,"0",'Pl 2016-20 PFC'!G187)</f>
        <v>0</v>
      </c>
      <c r="H182" s="2097">
        <f t="shared" si="10"/>
        <v>0</v>
      </c>
      <c r="I182" s="2097" t="str">
        <f>IF(('Pl 2016-20 PFC'!H187)=0,"0",'Pl 2016-20 PFC'!H187)</f>
        <v>0</v>
      </c>
      <c r="J182" s="2097" t="str">
        <f>IF(('Pl 2016-20 PFC'!I187)=0,"0",'Pl 2016-20 PFC'!I187)</f>
        <v>0</v>
      </c>
      <c r="K182" s="938" t="e">
        <f>IF(('Pl 2016-20 PFC'!#REF!)=0,"0",'Pl 2016-20 PFC'!#REF!)</f>
        <v>#REF!</v>
      </c>
      <c r="L182" s="991" t="e">
        <f t="shared" si="9"/>
        <v>#DIV/0!</v>
      </c>
      <c r="M182" s="986"/>
      <c r="N182" s="986"/>
      <c r="O182" s="986"/>
      <c r="P182" s="986"/>
      <c r="Q182" s="986"/>
    </row>
    <row r="183" spans="1:41" ht="18" hidden="1">
      <c r="A183" s="2146"/>
      <c r="B183" s="2141" t="s">
        <v>186</v>
      </c>
      <c r="C183" s="2148"/>
      <c r="D183" s="346" t="str">
        <f>IF(('Pl 2016-20 PFC'!D189)=0,"0",'Pl 2016-20 PFC'!D189)</f>
        <v>0</v>
      </c>
      <c r="E183" s="938" t="str">
        <f>IF(('Pl 2016-20 PFC'!E189)=0,"0",'Pl 2016-20 PFC'!E189)</f>
        <v>0</v>
      </c>
      <c r="F183" s="938" t="str">
        <f>IF(('Pl 2016-20 PFC'!F189)=0,"0",'Pl 2016-20 PFC'!F189)</f>
        <v>0</v>
      </c>
      <c r="G183" s="2097" t="str">
        <f>IF(('Pl 2016-20 PFC'!G189)=0,"0",'Pl 2016-20 PFC'!G189)</f>
        <v>0</v>
      </c>
      <c r="H183" s="2097">
        <f t="shared" si="10"/>
        <v>0</v>
      </c>
      <c r="I183" s="2097" t="str">
        <f>IF(('Pl 2016-20 PFC'!H189)=0,"0",'Pl 2016-20 PFC'!H189)</f>
        <v>0</v>
      </c>
      <c r="J183" s="2097" t="str">
        <f>IF(('Pl 2016-20 PFC'!I189)=0,"0",'Pl 2016-20 PFC'!I189)</f>
        <v>0</v>
      </c>
      <c r="K183" s="938" t="e">
        <f>IF(('Pl 2016-20 PFC'!#REF!)=0,"0",'Pl 2016-20 PFC'!#REF!)</f>
        <v>#REF!</v>
      </c>
      <c r="L183" s="991" t="e">
        <f t="shared" si="9"/>
        <v>#DIV/0!</v>
      </c>
      <c r="M183" s="986"/>
      <c r="N183" s="986"/>
      <c r="O183" s="986"/>
      <c r="P183" s="986"/>
      <c r="Q183" s="986"/>
    </row>
    <row r="184" spans="1:41" ht="18" hidden="1">
      <c r="A184" s="2146"/>
      <c r="B184" s="2141" t="s">
        <v>392</v>
      </c>
      <c r="C184" s="2148"/>
      <c r="D184" s="346" t="str">
        <f>IF(('Pl 2016-20 PFC'!D190)=0,"0",'Pl 2016-20 PFC'!D190)</f>
        <v>0</v>
      </c>
      <c r="E184" s="938" t="str">
        <f>IF(('Pl 2016-20 PFC'!E190)=0,"0",'Pl 2016-20 PFC'!E190)</f>
        <v>0</v>
      </c>
      <c r="F184" s="938" t="str">
        <f>IF(('Pl 2016-20 PFC'!F190)=0,"0",'Pl 2016-20 PFC'!F190)</f>
        <v>0</v>
      </c>
      <c r="G184" s="2097" t="str">
        <f>IF(('Pl 2016-20 PFC'!G190)=0,"0",'Pl 2016-20 PFC'!G190)</f>
        <v>0</v>
      </c>
      <c r="H184" s="2097">
        <f t="shared" si="10"/>
        <v>0</v>
      </c>
      <c r="I184" s="2097" t="str">
        <f>IF(('Pl 2016-20 PFC'!H190)=0,"0",'Pl 2016-20 PFC'!H190)</f>
        <v>0</v>
      </c>
      <c r="J184" s="2097" t="str">
        <f>IF(('Pl 2016-20 PFC'!I190)=0,"0",'Pl 2016-20 PFC'!I190)</f>
        <v>0</v>
      </c>
      <c r="K184" s="938" t="e">
        <f>IF(('Pl 2016-20 PFC'!#REF!)=0,"0",'Pl 2016-20 PFC'!#REF!)</f>
        <v>#REF!</v>
      </c>
      <c r="L184" s="991" t="e">
        <f t="shared" si="9"/>
        <v>#DIV/0!</v>
      </c>
      <c r="M184" s="986"/>
      <c r="N184" s="986"/>
      <c r="O184" s="986"/>
      <c r="P184" s="986"/>
      <c r="Q184" s="986"/>
    </row>
    <row r="185" spans="1:41" ht="18" hidden="1">
      <c r="A185" s="2146"/>
      <c r="B185" s="2141" t="s">
        <v>165</v>
      </c>
      <c r="C185" s="2148"/>
      <c r="D185" s="346" t="str">
        <f>IF(('Pl 2016-20 PFC'!D191)=0,"0",'Pl 2016-20 PFC'!D191)</f>
        <v>0</v>
      </c>
      <c r="E185" s="938" t="str">
        <f>IF(('Pl 2016-20 PFC'!E191)=0,"0",'Pl 2016-20 PFC'!E191)</f>
        <v>0</v>
      </c>
      <c r="F185" s="938" t="str">
        <f>IF(('Pl 2016-20 PFC'!F191)=0,"0",'Pl 2016-20 PFC'!F191)</f>
        <v>0</v>
      </c>
      <c r="G185" s="2097" t="str">
        <f>IF(('Pl 2016-20 PFC'!G191)=0,"0",'Pl 2016-20 PFC'!G191)</f>
        <v>0</v>
      </c>
      <c r="H185" s="2097">
        <f t="shared" si="10"/>
        <v>0</v>
      </c>
      <c r="I185" s="2097" t="str">
        <f>IF(('Pl 2016-20 PFC'!H191)=0,"0",'Pl 2016-20 PFC'!H191)</f>
        <v>0</v>
      </c>
      <c r="J185" s="2097" t="str">
        <f>IF(('Pl 2016-20 PFC'!I191)=0,"0",'Pl 2016-20 PFC'!I191)</f>
        <v>0</v>
      </c>
      <c r="K185" s="938" t="e">
        <f>IF(('Pl 2016-20 PFC'!#REF!)=0,"0",'Pl 2016-20 PFC'!#REF!)</f>
        <v>#REF!</v>
      </c>
      <c r="L185" s="991" t="e">
        <f t="shared" si="9"/>
        <v>#DIV/0!</v>
      </c>
      <c r="M185" s="986"/>
      <c r="N185" s="986"/>
      <c r="O185" s="986"/>
      <c r="P185" s="986"/>
      <c r="Q185" s="986"/>
    </row>
    <row r="186" spans="1:41" ht="18" hidden="1">
      <c r="A186" s="2146"/>
      <c r="B186" s="2141" t="s">
        <v>160</v>
      </c>
      <c r="C186" s="2148"/>
      <c r="D186" s="346" t="str">
        <f>IF(('Pl 2016-20 PFC'!D192)=0,"0",'Pl 2016-20 PFC'!D192)</f>
        <v>0</v>
      </c>
      <c r="E186" s="938" t="str">
        <f>IF(('Pl 2016-20 PFC'!E192)=0,"0",'Pl 2016-20 PFC'!E192)</f>
        <v>0</v>
      </c>
      <c r="F186" s="938" t="str">
        <f>IF(('Pl 2016-20 PFC'!F192)=0,"0",'Pl 2016-20 PFC'!F192)</f>
        <v>0</v>
      </c>
      <c r="G186" s="2097" t="str">
        <f>IF(('Pl 2016-20 PFC'!G192)=0,"0",'Pl 2016-20 PFC'!G192)</f>
        <v>0</v>
      </c>
      <c r="H186" s="2097">
        <f t="shared" si="10"/>
        <v>0</v>
      </c>
      <c r="I186" s="2097" t="str">
        <f>IF(('Pl 2016-20 PFC'!H192)=0,"0",'Pl 2016-20 PFC'!H192)</f>
        <v>0</v>
      </c>
      <c r="J186" s="2097" t="str">
        <f>IF(('Pl 2016-20 PFC'!I192)=0,"0",'Pl 2016-20 PFC'!I192)</f>
        <v>0</v>
      </c>
      <c r="K186" s="938" t="e">
        <f>IF(('Pl 2016-20 PFC'!#REF!)=0,"0",'Pl 2016-20 PFC'!#REF!)</f>
        <v>#REF!</v>
      </c>
      <c r="L186" s="991" t="e">
        <f t="shared" si="9"/>
        <v>#DIV/0!</v>
      </c>
      <c r="M186" s="986"/>
      <c r="N186" s="986"/>
      <c r="O186" s="986"/>
      <c r="P186" s="986"/>
      <c r="Q186" s="986"/>
    </row>
    <row r="187" spans="1:41" ht="18" hidden="1">
      <c r="A187" s="2146"/>
      <c r="B187" s="2141" t="s">
        <v>187</v>
      </c>
      <c r="C187" s="2148"/>
      <c r="D187" s="346" t="str">
        <f>IF(('Pl 2016-20 PFC'!D193)=0,"0",'Pl 2016-20 PFC'!D193)</f>
        <v>0</v>
      </c>
      <c r="E187" s="938" t="str">
        <f>IF(('Pl 2016-20 PFC'!E193)=0,"0",'Pl 2016-20 PFC'!E193)</f>
        <v>0</v>
      </c>
      <c r="F187" s="938" t="str">
        <f>IF(('Pl 2016-20 PFC'!F193)=0,"0",'Pl 2016-20 PFC'!F193)</f>
        <v>0</v>
      </c>
      <c r="G187" s="2097" t="str">
        <f>IF(('Pl 2016-20 PFC'!G193)=0,"0",'Pl 2016-20 PFC'!G193)</f>
        <v>0</v>
      </c>
      <c r="H187" s="2097">
        <f t="shared" si="10"/>
        <v>0</v>
      </c>
      <c r="I187" s="2097" t="str">
        <f>IF(('Pl 2016-20 PFC'!H193)=0,"0",'Pl 2016-20 PFC'!H193)</f>
        <v>0</v>
      </c>
      <c r="J187" s="2097" t="str">
        <f>IF(('Pl 2016-20 PFC'!I193)=0,"0",'Pl 2016-20 PFC'!I193)</f>
        <v>0</v>
      </c>
      <c r="K187" s="938" t="e">
        <f>IF(('Pl 2016-20 PFC'!#REF!)=0,"0",'Pl 2016-20 PFC'!#REF!)</f>
        <v>#REF!</v>
      </c>
      <c r="L187" s="991" t="e">
        <f t="shared" si="9"/>
        <v>#DIV/0!</v>
      </c>
      <c r="M187" s="986"/>
      <c r="N187" s="986"/>
      <c r="O187" s="986"/>
      <c r="P187" s="986"/>
      <c r="Q187" s="986"/>
    </row>
    <row r="188" spans="1:41" ht="18" hidden="1">
      <c r="A188" s="2146"/>
      <c r="B188" s="2141" t="s">
        <v>309</v>
      </c>
      <c r="C188" s="2148"/>
      <c r="D188" s="346" t="str">
        <f>IF(('Pl 2016-20 PFC'!D194)=0,"0",'Pl 2016-20 PFC'!D194)</f>
        <v>0</v>
      </c>
      <c r="E188" s="938" t="str">
        <f>IF(('Pl 2016-20 PFC'!E194)=0,"0",'Pl 2016-20 PFC'!E194)</f>
        <v>0</v>
      </c>
      <c r="F188" s="938" t="str">
        <f>IF(('Pl 2016-20 PFC'!F194)=0,"0",'Pl 2016-20 PFC'!F194)</f>
        <v>0</v>
      </c>
      <c r="G188" s="2097" t="str">
        <f>IF(('Pl 2016-20 PFC'!G194)=0,"0",'Pl 2016-20 PFC'!G194)</f>
        <v>0</v>
      </c>
      <c r="H188" s="2097">
        <f t="shared" si="10"/>
        <v>0</v>
      </c>
      <c r="I188" s="2097" t="str">
        <f>IF(('Pl 2016-20 PFC'!H194)=0,"0",'Pl 2016-20 PFC'!H194)</f>
        <v>0</v>
      </c>
      <c r="J188" s="2097" t="str">
        <f>IF(('Pl 2016-20 PFC'!I194)=0,"0",'Pl 2016-20 PFC'!I194)</f>
        <v>0</v>
      </c>
      <c r="K188" s="938" t="e">
        <f>IF(('Pl 2016-20 PFC'!#REF!)=0,"0",'Pl 2016-20 PFC'!#REF!)</f>
        <v>#REF!</v>
      </c>
      <c r="L188" s="991" t="e">
        <f t="shared" si="9"/>
        <v>#DIV/0!</v>
      </c>
      <c r="M188" s="986"/>
      <c r="N188" s="986"/>
      <c r="O188" s="986"/>
      <c r="P188" s="986"/>
      <c r="Q188" s="986"/>
    </row>
    <row r="189" spans="1:41" ht="18" hidden="1">
      <c r="A189" s="2146"/>
      <c r="B189" s="2141" t="s">
        <v>181</v>
      </c>
      <c r="C189" s="2148"/>
      <c r="D189" s="346" t="str">
        <f>IF(('Pl 2016-20 PFC'!D195)=0,"0",'Pl 2016-20 PFC'!D195)</f>
        <v>0</v>
      </c>
      <c r="E189" s="938" t="str">
        <f>IF(('Pl 2016-20 PFC'!E195)=0,"0",'Pl 2016-20 PFC'!E195)</f>
        <v>0</v>
      </c>
      <c r="F189" s="938" t="str">
        <f>IF(('Pl 2016-20 PFC'!F195)=0,"0",'Pl 2016-20 PFC'!F195)</f>
        <v>0</v>
      </c>
      <c r="G189" s="2097" t="str">
        <f>IF(('Pl 2016-20 PFC'!G195)=0,"0",'Pl 2016-20 PFC'!G195)</f>
        <v>0</v>
      </c>
      <c r="H189" s="2097">
        <f t="shared" si="10"/>
        <v>0</v>
      </c>
      <c r="I189" s="2097" t="str">
        <f>IF(('Pl 2016-20 PFC'!H195)=0,"0",'Pl 2016-20 PFC'!H195)</f>
        <v>0</v>
      </c>
      <c r="J189" s="2097" t="str">
        <f>IF(('Pl 2016-20 PFC'!I195)=0,"0",'Pl 2016-20 PFC'!I195)</f>
        <v>0</v>
      </c>
      <c r="K189" s="938" t="e">
        <f>IF(('Pl 2016-20 PFC'!#REF!)=0,"0",'Pl 2016-20 PFC'!#REF!)</f>
        <v>#REF!</v>
      </c>
      <c r="L189" s="991" t="e">
        <f t="shared" si="9"/>
        <v>#DIV/0!</v>
      </c>
      <c r="M189" s="986"/>
      <c r="N189" s="986"/>
      <c r="O189" s="986"/>
      <c r="P189" s="986"/>
      <c r="Q189" s="986"/>
    </row>
    <row r="190" spans="1:41" ht="18" hidden="1">
      <c r="A190" s="2146"/>
      <c r="B190" s="2141" t="s">
        <v>393</v>
      </c>
      <c r="C190" s="2148"/>
      <c r="D190" s="346" t="str">
        <f>IF(('Pl 2016-20 PFC'!D196)=0,"0",'Pl 2016-20 PFC'!D196)</f>
        <v>0</v>
      </c>
      <c r="E190" s="938" t="str">
        <f>IF(('Pl 2016-20 PFC'!E196)=0,"0",'Pl 2016-20 PFC'!E196)</f>
        <v>0</v>
      </c>
      <c r="F190" s="938" t="str">
        <f>IF(('Pl 2016-20 PFC'!F196)=0,"0",'Pl 2016-20 PFC'!F196)</f>
        <v>0</v>
      </c>
      <c r="G190" s="2097" t="str">
        <f>IF(('Pl 2016-20 PFC'!G196)=0,"0",'Pl 2016-20 PFC'!G196)</f>
        <v>0</v>
      </c>
      <c r="H190" s="2097">
        <f t="shared" si="10"/>
        <v>0</v>
      </c>
      <c r="I190" s="2097" t="str">
        <f>IF(('Pl 2016-20 PFC'!H196)=0,"0",'Pl 2016-20 PFC'!H196)</f>
        <v>0</v>
      </c>
      <c r="J190" s="2097" t="str">
        <f>IF(('Pl 2016-20 PFC'!I196)=0,"0",'Pl 2016-20 PFC'!I196)</f>
        <v>0</v>
      </c>
      <c r="K190" s="938" t="e">
        <f>IF(('Pl 2016-20 PFC'!#REF!)=0,"0",'Pl 2016-20 PFC'!#REF!)</f>
        <v>#REF!</v>
      </c>
      <c r="L190" s="991" t="e">
        <f t="shared" si="9"/>
        <v>#DIV/0!</v>
      </c>
      <c r="M190" s="986"/>
      <c r="N190" s="986"/>
      <c r="O190" s="986"/>
      <c r="P190" s="986"/>
      <c r="Q190" s="986"/>
    </row>
    <row r="191" spans="1:41" ht="18" hidden="1">
      <c r="A191" s="2146"/>
      <c r="B191" s="2141"/>
      <c r="C191" s="2148"/>
      <c r="D191" s="346"/>
      <c r="E191" s="938"/>
      <c r="F191" s="938"/>
      <c r="G191" s="2097"/>
      <c r="H191" s="2097">
        <f t="shared" si="10"/>
        <v>0</v>
      </c>
      <c r="I191" s="2097"/>
      <c r="J191" s="2097"/>
      <c r="K191" s="938"/>
      <c r="L191" s="991" t="e">
        <f t="shared" si="9"/>
        <v>#DIV/0!</v>
      </c>
      <c r="M191" s="986"/>
      <c r="N191" s="986"/>
      <c r="O191" s="986"/>
      <c r="P191" s="986"/>
      <c r="Q191" s="986"/>
    </row>
    <row r="192" spans="1:41" ht="18">
      <c r="A192" s="2146" t="s">
        <v>189</v>
      </c>
      <c r="B192" s="2141" t="s">
        <v>394</v>
      </c>
      <c r="C192" s="2148" t="s">
        <v>191</v>
      </c>
      <c r="D192" s="346">
        <f>SUM(D193:D193)</f>
        <v>3716000</v>
      </c>
      <c r="E192" s="938">
        <f>SUM(E193:E193)</f>
        <v>3716000</v>
      </c>
      <c r="F192" s="938">
        <f>SUM(F193:F193)</f>
        <v>3782000</v>
      </c>
      <c r="G192" s="2097">
        <f>SUM(G193:G193)</f>
        <v>3782000</v>
      </c>
      <c r="H192" s="2097">
        <f t="shared" si="10"/>
        <v>0</v>
      </c>
      <c r="I192" s="2097">
        <f>SUM(I193:I193)</f>
        <v>0</v>
      </c>
      <c r="J192" s="2097">
        <f>SUM(J193:J193)</f>
        <v>3782000</v>
      </c>
      <c r="K192" s="938" t="e">
        <f>SUM(K193:K193)</f>
        <v>#REF!</v>
      </c>
      <c r="L192" s="991">
        <f t="shared" si="9"/>
        <v>101.77610333692142</v>
      </c>
      <c r="M192" s="986"/>
      <c r="N192" s="986"/>
      <c r="O192" s="986"/>
      <c r="P192" s="986"/>
      <c r="Q192" s="986"/>
    </row>
    <row r="193" spans="1:41" ht="18" hidden="1">
      <c r="A193" s="2146"/>
      <c r="B193" s="2141" t="s">
        <v>192</v>
      </c>
      <c r="C193" s="2148" t="s">
        <v>191</v>
      </c>
      <c r="D193" s="346">
        <f>IF(('Pl 2016-20 PFC'!D199)=0,"0",'Pl 2016-20 PFC'!D199)</f>
        <v>3716000</v>
      </c>
      <c r="E193" s="938">
        <f>IF(('Pl 2016-20 PFC'!E199)=0,"0",'Pl 2016-20 PFC'!E199)</f>
        <v>3716000</v>
      </c>
      <c r="F193" s="938">
        <f>IF(('Pl 2016-20 PFC'!F199)=0,"0",'Pl 2016-20 PFC'!F199)</f>
        <v>3782000</v>
      </c>
      <c r="G193" s="2097">
        <f>IF(('Pl 2016-20 PFC'!G199)=0,"0",'Pl 2016-20 PFC'!G199)</f>
        <v>3782000</v>
      </c>
      <c r="H193" s="2097">
        <f t="shared" si="10"/>
        <v>0</v>
      </c>
      <c r="I193" s="2097" t="str">
        <f>IF(('Pl 2016-20 PFC'!H199)=0,"0",'Pl 2016-20 PFC'!H199)</f>
        <v>0</v>
      </c>
      <c r="J193" s="2097">
        <f>IF(('Pl 2016-20 PFC'!I199)=0,"0",'Pl 2016-20 PFC'!I199)</f>
        <v>3782000</v>
      </c>
      <c r="K193" s="938" t="e">
        <f>IF(('Pl 2016-20 PFC'!#REF!)=0,"0",'Pl 2016-20 PFC'!#REF!)</f>
        <v>#REF!</v>
      </c>
      <c r="L193" s="991">
        <f t="shared" si="9"/>
        <v>101.77610333692142</v>
      </c>
      <c r="M193" s="986"/>
      <c r="N193" s="986"/>
      <c r="O193" s="986"/>
      <c r="P193" s="986"/>
      <c r="Q193" s="986"/>
    </row>
    <row r="194" spans="1:41" ht="18" hidden="1">
      <c r="A194" s="2146"/>
      <c r="B194" s="2141"/>
      <c r="C194" s="2148"/>
      <c r="D194" s="346"/>
      <c r="E194" s="938"/>
      <c r="F194" s="938"/>
      <c r="G194" s="2097"/>
      <c r="H194" s="2097">
        <f t="shared" si="10"/>
        <v>0</v>
      </c>
      <c r="I194" s="2097"/>
      <c r="J194" s="2097"/>
      <c r="K194" s="938"/>
      <c r="L194" s="991" t="e">
        <f t="shared" si="9"/>
        <v>#DIV/0!</v>
      </c>
      <c r="M194" s="986"/>
      <c r="N194" s="986"/>
      <c r="O194" s="986"/>
      <c r="P194" s="986"/>
      <c r="Q194" s="986"/>
    </row>
    <row r="195" spans="1:41" ht="18.600000000000001" thickBot="1">
      <c r="A195" s="2128">
        <v>3</v>
      </c>
      <c r="B195" s="2189" t="s">
        <v>193</v>
      </c>
      <c r="C195" s="2190" t="s">
        <v>81</v>
      </c>
      <c r="D195" s="2191">
        <f t="shared" ref="D195:K195" si="11">SUM(D196)</f>
        <v>40800000</v>
      </c>
      <c r="E195" s="2192">
        <f t="shared" si="11"/>
        <v>28284000</v>
      </c>
      <c r="F195" s="2192">
        <f t="shared" si="11"/>
        <v>17000000</v>
      </c>
      <c r="G195" s="2193">
        <f t="shared" si="11"/>
        <v>348000</v>
      </c>
      <c r="H195" s="2193" t="e">
        <f t="shared" si="11"/>
        <v>#VALUE!</v>
      </c>
      <c r="I195" s="2193">
        <f t="shared" si="11"/>
        <v>0</v>
      </c>
      <c r="J195" s="2193">
        <f t="shared" si="11"/>
        <v>348000</v>
      </c>
      <c r="K195" s="1354" t="e">
        <f t="shared" si="11"/>
        <v>#REF!</v>
      </c>
      <c r="L195" s="991">
        <f t="shared" si="9"/>
        <v>1.230377598642342</v>
      </c>
      <c r="M195" s="986"/>
      <c r="N195" s="986"/>
      <c r="O195" s="986"/>
      <c r="P195" s="986"/>
      <c r="Q195" s="986"/>
    </row>
    <row r="196" spans="1:41" s="342" customFormat="1" ht="18" hidden="1">
      <c r="A196" s="2146"/>
      <c r="B196" s="2141" t="s">
        <v>142</v>
      </c>
      <c r="C196" s="2148" t="s">
        <v>81</v>
      </c>
      <c r="D196" s="346">
        <f>SUM(D197:D198)</f>
        <v>40800000</v>
      </c>
      <c r="E196" s="938">
        <f>SUM(E197:E198)</f>
        <v>28284000</v>
      </c>
      <c r="F196" s="938">
        <f>SUM(F197:F198)</f>
        <v>17000000</v>
      </c>
      <c r="G196" s="2097">
        <f>SUM(G197,G199,G200,G201,G202,G203)</f>
        <v>348000</v>
      </c>
      <c r="H196" s="2097" t="e">
        <f>SUM(H197,H199,H200,H201,H202,H203)</f>
        <v>#VALUE!</v>
      </c>
      <c r="I196" s="2097">
        <f>SUM(I197,I199,I200,I201,I202,I203)</f>
        <v>0</v>
      </c>
      <c r="J196" s="2097">
        <f>SUM(J197,J199,J200,J201,J202,J203)</f>
        <v>348000</v>
      </c>
      <c r="K196" s="938" t="e">
        <f>SUM(K197:K198)</f>
        <v>#REF!</v>
      </c>
      <c r="L196" s="991">
        <f t="shared" si="9"/>
        <v>1.230377598642342</v>
      </c>
      <c r="M196" s="994"/>
      <c r="N196" s="994"/>
      <c r="O196" s="994"/>
      <c r="P196" s="994"/>
      <c r="Q196" s="994"/>
      <c r="R196" s="339"/>
      <c r="S196" s="339"/>
      <c r="T196" s="339"/>
      <c r="U196" s="339"/>
      <c r="V196" s="339"/>
      <c r="W196" s="339"/>
      <c r="X196" s="339"/>
      <c r="Y196" s="339"/>
      <c r="Z196" s="339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41"/>
      <c r="AO196" s="341"/>
    </row>
    <row r="197" spans="1:41" s="342" customFormat="1" ht="18" hidden="1">
      <c r="A197" s="2146"/>
      <c r="B197" s="2141" t="s">
        <v>194</v>
      </c>
      <c r="C197" s="2148" t="s">
        <v>195</v>
      </c>
      <c r="D197" s="346">
        <f>IF(('Pl 2016-20 PFC'!D203)=0,"",'Pl 2016-20 PFC'!D203)</f>
        <v>40800000</v>
      </c>
      <c r="E197" s="938">
        <f>IF(('Pl 2016-20 PFC'!E203)=0,"",'Pl 2016-20 PFC'!E203)</f>
        <v>28284000</v>
      </c>
      <c r="F197" s="938">
        <f>IF(('Pl 2016-20 PFC'!F203)=0,"",'Pl 2016-20 PFC'!F203)</f>
        <v>17000000</v>
      </c>
      <c r="G197" s="2097" t="str">
        <f>IF(('Pl 2016-20 PFC'!G203)=0,"",'Pl 2016-20 PFC'!G203)</f>
        <v/>
      </c>
      <c r="H197" s="2097" t="e">
        <f t="shared" si="10"/>
        <v>#VALUE!</v>
      </c>
      <c r="I197" s="2097" t="str">
        <f>IF(('Pl 2016-20 PFC'!H203)=0,"",'Pl 2016-20 PFC'!H203)</f>
        <v/>
      </c>
      <c r="J197" s="2097" t="str">
        <f>IF(('Pl 2016-20 PFC'!I203)=0,"",'Pl 2016-20 PFC'!I203)</f>
        <v/>
      </c>
      <c r="K197" s="938" t="e">
        <f>IF(('Pl 2016-20 PFC'!#REF!)=0,"",'Pl 2016-20 PFC'!#REF!)</f>
        <v>#REF!</v>
      </c>
      <c r="L197" s="991" t="e">
        <f t="shared" si="9"/>
        <v>#VALUE!</v>
      </c>
      <c r="M197" s="994"/>
      <c r="N197" s="994"/>
      <c r="O197" s="994"/>
      <c r="P197" s="994"/>
      <c r="Q197" s="994"/>
      <c r="R197" s="339"/>
      <c r="S197" s="339"/>
      <c r="T197" s="339"/>
      <c r="U197" s="339"/>
      <c r="V197" s="339"/>
      <c r="W197" s="339"/>
      <c r="X197" s="339"/>
      <c r="Y197" s="339"/>
      <c r="Z197" s="33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41"/>
      <c r="AO197" s="341"/>
    </row>
    <row r="198" spans="1:41" s="342" customFormat="1" ht="18" hidden="1">
      <c r="A198" s="2146"/>
      <c r="B198" s="2141" t="s">
        <v>196</v>
      </c>
      <c r="C198" s="2148" t="s">
        <v>197</v>
      </c>
      <c r="D198" s="346" t="str">
        <f>IF(('Pl 2016-20 PFC'!D204)=0,"",'Pl 2016-20 PFC'!D204)</f>
        <v/>
      </c>
      <c r="E198" s="938" t="str">
        <f>IF(('Pl 2016-20 PFC'!E204)=0,"",'Pl 2016-20 PFC'!E204)</f>
        <v/>
      </c>
      <c r="F198" s="938" t="str">
        <f>IF(('Pl 2016-20 PFC'!F204)=0,"",'Pl 2016-20 PFC'!F204)</f>
        <v/>
      </c>
      <c r="G198" s="2097" t="str">
        <f>IF(('Pl 2016-20 PFC'!G204)=0,"",'Pl 2016-20 PFC'!G204)</f>
        <v/>
      </c>
      <c r="H198" s="2097" t="e">
        <f t="shared" si="10"/>
        <v>#VALUE!</v>
      </c>
      <c r="I198" s="2097" t="str">
        <f>IF(('Pl 2016-20 PFC'!H204)=0,"",'Pl 2016-20 PFC'!H204)</f>
        <v/>
      </c>
      <c r="J198" s="2097" t="str">
        <f>IF(('Pl 2016-20 PFC'!I204)=0,"",'Pl 2016-20 PFC'!I204)</f>
        <v/>
      </c>
      <c r="K198" s="938" t="e">
        <f>IF(('Pl 2016-20 PFC'!#REF!)=0,"",'Pl 2016-20 PFC'!#REF!)</f>
        <v>#REF!</v>
      </c>
      <c r="L198" s="991" t="e">
        <f t="shared" si="9"/>
        <v>#VALUE!</v>
      </c>
      <c r="M198" s="994"/>
      <c r="N198" s="994"/>
      <c r="O198" s="994"/>
      <c r="P198" s="994"/>
      <c r="Q198" s="994"/>
      <c r="R198" s="339"/>
      <c r="S198" s="339"/>
      <c r="T198" s="339"/>
      <c r="U198" s="339"/>
      <c r="V198" s="339"/>
      <c r="W198" s="339"/>
      <c r="X198" s="339"/>
      <c r="Y198" s="339"/>
      <c r="Z198" s="339"/>
      <c r="AA198" s="339"/>
      <c r="AB198" s="339"/>
      <c r="AC198" s="339"/>
      <c r="AD198" s="339"/>
      <c r="AE198" s="339"/>
      <c r="AF198" s="339"/>
      <c r="AG198" s="339"/>
      <c r="AH198" s="339"/>
      <c r="AI198" s="339"/>
      <c r="AJ198" s="339"/>
      <c r="AK198" s="339"/>
      <c r="AL198" s="339"/>
      <c r="AM198" s="339"/>
      <c r="AN198" s="341"/>
      <c r="AO198" s="341"/>
    </row>
    <row r="199" spans="1:41" s="342" customFormat="1" ht="18" hidden="1">
      <c r="A199" s="2146"/>
      <c r="B199" s="2141" t="str">
        <f>IF(('Pl 2016-20 PFC'!B205)=0,"",'Pl 2016-20 PFC'!B205)</f>
        <v>Wynagrodzenia</v>
      </c>
      <c r="C199" s="2148"/>
      <c r="D199" s="377"/>
      <c r="E199" s="939"/>
      <c r="F199" s="939"/>
      <c r="G199" s="2097">
        <f>IF(('Pl 2016-20 PFC'!G205)=0,"",'Pl 2016-20 PFC'!G205)</f>
        <v>244000</v>
      </c>
      <c r="H199" s="2097"/>
      <c r="I199" s="2097" t="str">
        <f>IF(('Pl 2016-20 PFC'!H205)=0,"",'Pl 2016-20 PFC'!H205)</f>
        <v/>
      </c>
      <c r="J199" s="2097">
        <f>IF(('Pl 2016-20 PFC'!I205)=0,"",'Pl 2016-20 PFC'!I205)</f>
        <v>244000</v>
      </c>
      <c r="K199" s="939"/>
      <c r="L199" s="2028"/>
      <c r="M199" s="994"/>
      <c r="N199" s="994"/>
      <c r="O199" s="994"/>
      <c r="P199" s="994"/>
      <c r="Q199" s="994"/>
      <c r="R199" s="339"/>
      <c r="S199" s="339"/>
      <c r="T199" s="339"/>
      <c r="U199" s="339"/>
      <c r="V199" s="339"/>
      <c r="W199" s="339"/>
      <c r="X199" s="339"/>
      <c r="Y199" s="339"/>
      <c r="Z199" s="339"/>
      <c r="AA199" s="339"/>
      <c r="AB199" s="339"/>
      <c r="AC199" s="339"/>
      <c r="AD199" s="339"/>
      <c r="AE199" s="339"/>
      <c r="AF199" s="339"/>
      <c r="AG199" s="339"/>
      <c r="AH199" s="339"/>
      <c r="AI199" s="339"/>
      <c r="AJ199" s="339"/>
      <c r="AK199" s="339"/>
      <c r="AL199" s="339"/>
      <c r="AM199" s="339"/>
      <c r="AN199" s="341"/>
      <c r="AO199" s="341"/>
    </row>
    <row r="200" spans="1:41" s="342" customFormat="1" ht="18" hidden="1">
      <c r="A200" s="2146"/>
      <c r="B200" s="2141" t="str">
        <f>IF(('Pl 2016-20 PFC'!B206)=0,"",'Pl 2016-20 PFC'!B206)</f>
        <v>Składki na ubezpieczenia społeczne</v>
      </c>
      <c r="C200" s="2097" t="str">
        <f>IF(('Pl 2016-20 PFC'!C206)=0,"",'Pl 2016-20 PFC'!C206)</f>
        <v>4117</v>
      </c>
      <c r="D200" s="939" t="str">
        <f>IF(('Pl 2016-20 PFC'!D206)=0,"",'Pl 2016-20 PFC'!D206)</f>
        <v/>
      </c>
      <c r="E200" s="939" t="str">
        <f>IF(('Pl 2016-20 PFC'!E206)=0,"",'Pl 2016-20 PFC'!E206)</f>
        <v/>
      </c>
      <c r="F200" s="939" t="str">
        <f>IF(('Pl 2016-20 PFC'!F206)=0,"",'Pl 2016-20 PFC'!F206)</f>
        <v/>
      </c>
      <c r="G200" s="2097">
        <f>IF(('Pl 2016-20 PFC'!G206)=0,"",'Pl 2016-20 PFC'!G206)</f>
        <v>41000</v>
      </c>
      <c r="H200" s="2097"/>
      <c r="I200" s="2097" t="str">
        <f>IF(('Pl 2016-20 PFC'!H206)=0,"",'Pl 2016-20 PFC'!H206)</f>
        <v/>
      </c>
      <c r="J200" s="2097">
        <f>IF(('Pl 2016-20 PFC'!I206)=0,"",'Pl 2016-20 PFC'!I206)</f>
        <v>41000</v>
      </c>
      <c r="K200" s="939"/>
      <c r="L200" s="2028"/>
      <c r="M200" s="994"/>
      <c r="N200" s="994"/>
      <c r="O200" s="994"/>
      <c r="P200" s="994"/>
      <c r="Q200" s="994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39"/>
      <c r="AC200" s="339"/>
      <c r="AD200" s="339"/>
      <c r="AE200" s="339"/>
      <c r="AF200" s="339"/>
      <c r="AG200" s="339"/>
      <c r="AH200" s="339"/>
      <c r="AI200" s="339"/>
      <c r="AJ200" s="339"/>
      <c r="AK200" s="339"/>
      <c r="AL200" s="339"/>
      <c r="AM200" s="339"/>
      <c r="AN200" s="341"/>
      <c r="AO200" s="341"/>
    </row>
    <row r="201" spans="1:41" s="342" customFormat="1" ht="18" hidden="1">
      <c r="A201" s="2146"/>
      <c r="B201" s="2141" t="str">
        <f>IF(('Pl 2016-20 PFC'!B207)=0,"",'Pl 2016-20 PFC'!B207)</f>
        <v>Składki na Fundusz Pracy</v>
      </c>
      <c r="C201" s="2148"/>
      <c r="D201" s="377"/>
      <c r="E201" s="939"/>
      <c r="F201" s="939"/>
      <c r="G201" s="2097">
        <f>IF(('Pl 2016-20 PFC'!G207)=0,"",'Pl 2016-20 PFC'!G207)</f>
        <v>7000</v>
      </c>
      <c r="H201" s="2097"/>
      <c r="I201" s="2097" t="str">
        <f>IF(('Pl 2016-20 PFC'!H207)=0,"",'Pl 2016-20 PFC'!H207)</f>
        <v/>
      </c>
      <c r="J201" s="2097">
        <f>IF(('Pl 2016-20 PFC'!I207)=0,"",'Pl 2016-20 PFC'!I207)</f>
        <v>7000</v>
      </c>
      <c r="K201" s="939"/>
      <c r="L201" s="2028"/>
      <c r="M201" s="994"/>
      <c r="N201" s="994"/>
      <c r="O201" s="994"/>
      <c r="P201" s="994"/>
      <c r="Q201" s="994"/>
      <c r="R201" s="339"/>
      <c r="S201" s="339"/>
      <c r="T201" s="339"/>
      <c r="U201" s="339"/>
      <c r="V201" s="339"/>
      <c r="W201" s="339"/>
      <c r="X201" s="339"/>
      <c r="Y201" s="339"/>
      <c r="Z201" s="339"/>
      <c r="AA201" s="339"/>
      <c r="AB201" s="339"/>
      <c r="AC201" s="339"/>
      <c r="AD201" s="339"/>
      <c r="AE201" s="339"/>
      <c r="AF201" s="339"/>
      <c r="AG201" s="339"/>
      <c r="AH201" s="339"/>
      <c r="AI201" s="339"/>
      <c r="AJ201" s="339"/>
      <c r="AK201" s="339"/>
      <c r="AL201" s="339"/>
      <c r="AM201" s="339"/>
      <c r="AN201" s="341"/>
      <c r="AO201" s="341"/>
    </row>
    <row r="202" spans="1:41" s="342" customFormat="1" ht="18" hidden="1">
      <c r="A202" s="2146"/>
      <c r="B202" s="2141" t="str">
        <f>IF(('Pl 2016-20 PFC'!B208)=0,"",'Pl 2016-20 PFC'!B208)</f>
        <v>Wynagrodzenia bezosobowe</v>
      </c>
      <c r="C202" s="2148"/>
      <c r="D202" s="377"/>
      <c r="E202" s="939"/>
      <c r="F202" s="939"/>
      <c r="G202" s="2097" t="str">
        <f>IF(('Pl 2016-20 PFC'!G208)=0,"",'Pl 2016-20 PFC'!G208)</f>
        <v/>
      </c>
      <c r="H202" s="2097"/>
      <c r="I202" s="2097" t="str">
        <f>IF(('Pl 2016-20 PFC'!H208)=0,"",'Pl 2016-20 PFC'!H208)</f>
        <v/>
      </c>
      <c r="J202" s="2097" t="str">
        <f>IF(('Pl 2016-20 PFC'!I208)=0,"",'Pl 2016-20 PFC'!I208)</f>
        <v/>
      </c>
      <c r="K202" s="939"/>
      <c r="L202" s="2028"/>
      <c r="M202" s="994"/>
      <c r="N202" s="994"/>
      <c r="O202" s="994"/>
      <c r="P202" s="994"/>
      <c r="Q202" s="994"/>
      <c r="R202" s="339"/>
      <c r="S202" s="339"/>
      <c r="T202" s="339"/>
      <c r="U202" s="339"/>
      <c r="V202" s="339"/>
      <c r="W202" s="339"/>
      <c r="X202" s="339"/>
      <c r="Y202" s="339"/>
      <c r="Z202" s="339"/>
      <c r="AA202" s="339"/>
      <c r="AB202" s="339"/>
      <c r="AC202" s="339"/>
      <c r="AD202" s="339"/>
      <c r="AE202" s="339"/>
      <c r="AF202" s="339"/>
      <c r="AG202" s="339"/>
      <c r="AH202" s="339"/>
      <c r="AI202" s="339"/>
      <c r="AJ202" s="339"/>
      <c r="AK202" s="339"/>
      <c r="AL202" s="339"/>
      <c r="AM202" s="339"/>
      <c r="AN202" s="341"/>
      <c r="AO202" s="341"/>
    </row>
    <row r="203" spans="1:41" s="342" customFormat="1" ht="18" hidden="1">
      <c r="A203" s="2182"/>
      <c r="B203" s="2183" t="str">
        <f>IF(('Pl 2016-20 PFC'!B209)=0,"",'Pl 2016-20 PFC'!B209)</f>
        <v>Pozostałe</v>
      </c>
      <c r="C203" s="2184"/>
      <c r="D203" s="2082"/>
      <c r="E203" s="2083"/>
      <c r="F203" s="2083"/>
      <c r="G203" s="2110">
        <f>SUM(G204,G209)</f>
        <v>56000</v>
      </c>
      <c r="H203" s="2110">
        <f>SUM(H204,H209)</f>
        <v>0</v>
      </c>
      <c r="I203" s="2110">
        <f>SUM(I204,I209)</f>
        <v>0</v>
      </c>
      <c r="J203" s="2110">
        <f>SUM(J204,J209)</f>
        <v>56000</v>
      </c>
      <c r="K203" s="939"/>
      <c r="L203" s="2028"/>
      <c r="M203" s="994"/>
      <c r="N203" s="994"/>
      <c r="O203" s="994"/>
      <c r="P203" s="994"/>
      <c r="Q203" s="994"/>
      <c r="R203" s="339"/>
      <c r="S203" s="339"/>
      <c r="T203" s="339"/>
      <c r="U203" s="339"/>
      <c r="V203" s="339"/>
      <c r="W203" s="339"/>
      <c r="X203" s="339"/>
      <c r="Y203" s="339"/>
      <c r="Z203" s="33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41"/>
      <c r="AO203" s="341"/>
    </row>
    <row r="204" spans="1:41" s="342" customFormat="1" ht="18" hidden="1">
      <c r="A204" s="2146"/>
      <c r="B204" s="2183" t="str">
        <f>IF(('Pl 2016-20 PFC'!B210)=0,"",'Pl 2016-20 PFC'!B210)</f>
        <v xml:space="preserve">  - zakup usług</v>
      </c>
      <c r="C204" s="2148"/>
      <c r="D204" s="377"/>
      <c r="E204" s="939"/>
      <c r="F204" s="939"/>
      <c r="G204" s="2110">
        <f>IF(('Pl 2016-20 PFC'!G210)=0,"",'Pl 2016-20 PFC'!G210)</f>
        <v>56000</v>
      </c>
      <c r="H204" s="2110" t="str">
        <f>IF(('Pl 2016-20 PFC'!H210)=0,"",'Pl 2016-20 PFC'!H210)</f>
        <v/>
      </c>
      <c r="I204" s="2110" t="str">
        <f>IF(('Pl 2016-20 PFC'!H210)=0,"",'Pl 2016-20 PFC'!H210)</f>
        <v/>
      </c>
      <c r="J204" s="2110">
        <f>IF(('Pl 2016-20 PFC'!I210)=0,"",'Pl 2016-20 PFC'!I210)</f>
        <v>56000</v>
      </c>
      <c r="K204" s="939"/>
      <c r="L204" s="2028"/>
      <c r="M204" s="994"/>
      <c r="N204" s="994"/>
      <c r="O204" s="994"/>
      <c r="P204" s="994"/>
      <c r="Q204" s="994"/>
      <c r="R204" s="339"/>
      <c r="S204" s="339"/>
      <c r="T204" s="339"/>
      <c r="U204" s="339"/>
      <c r="V204" s="339"/>
      <c r="W204" s="339"/>
      <c r="X204" s="339"/>
      <c r="Y204" s="339"/>
      <c r="Z204" s="33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41"/>
      <c r="AO204" s="341"/>
    </row>
    <row r="205" spans="1:41" s="342" customFormat="1" ht="18" hidden="1">
      <c r="A205" s="2146"/>
      <c r="B205" s="2141" t="str">
        <f>IF(('Pl 2016-20 PFC'!B211)=0,"",'Pl 2016-20 PFC'!B211)</f>
        <v>- zakup materiałów i wyposażenia</v>
      </c>
      <c r="C205" s="2148"/>
      <c r="D205" s="377"/>
      <c r="E205" s="939"/>
      <c r="F205" s="939"/>
      <c r="G205" s="2097" t="str">
        <f>IF(('Pl 2016-20 PFC'!G211)=0,"",'Pl 2016-20 PFC'!G211)</f>
        <v/>
      </c>
      <c r="H205" s="2097" t="str">
        <f>IF(('Pl 2016-20 PFC'!H211)=0,"",'Pl 2016-20 PFC'!H211)</f>
        <v/>
      </c>
      <c r="I205" s="2097" t="str">
        <f>IF(('Pl 2016-20 PFC'!I211)=0,"",'Pl 2016-20 PFC'!I211)</f>
        <v/>
      </c>
      <c r="J205" s="2097" t="str">
        <f>IF(('Pl 2016-20 PFC'!I211)=0,"",'Pl 2016-20 PFC'!I211)</f>
        <v/>
      </c>
      <c r="K205" s="939"/>
      <c r="L205" s="2028"/>
      <c r="M205" s="994"/>
      <c r="N205" s="994"/>
      <c r="O205" s="994"/>
      <c r="P205" s="994"/>
      <c r="Q205" s="994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41"/>
      <c r="AO205" s="341"/>
    </row>
    <row r="206" spans="1:41" s="342" customFormat="1" ht="18" hidden="1">
      <c r="A206" s="2146"/>
      <c r="B206" s="2141" t="str">
        <f>IF(('Pl 2016-20 PFC'!B212)=0,"",'Pl 2016-20 PFC'!B212)</f>
        <v>- zakup usług pozostałych</v>
      </c>
      <c r="C206" s="2148"/>
      <c r="D206" s="377"/>
      <c r="E206" s="939"/>
      <c r="F206" s="939"/>
      <c r="G206" s="2097">
        <f>IF(('Pl 2016-20 PFC'!G212)=0,"",'Pl 2016-20 PFC'!G212)</f>
        <v>56000</v>
      </c>
      <c r="H206" s="2097" t="str">
        <f>IF(('Pl 2016-20 PFC'!H212)=0,"",'Pl 2016-20 PFC'!H212)</f>
        <v/>
      </c>
      <c r="I206" s="2097" t="str">
        <f>IF(('Pl 2016-20 PFC'!H212)=0,"",'Pl 2016-20 PFC'!H212)</f>
        <v/>
      </c>
      <c r="J206" s="2097">
        <f>IF(('Pl 2016-20 PFC'!I212)=0,"",'Pl 2016-20 PFC'!I212)</f>
        <v>56000</v>
      </c>
      <c r="K206" s="939"/>
      <c r="L206" s="2028"/>
      <c r="M206" s="994"/>
      <c r="N206" s="994"/>
      <c r="O206" s="994"/>
      <c r="P206" s="994"/>
      <c r="Q206" s="994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41"/>
      <c r="AO206" s="341"/>
    </row>
    <row r="207" spans="1:41" s="342" customFormat="1" ht="18" hidden="1">
      <c r="A207" s="2146"/>
      <c r="B207" s="2141" t="str">
        <f>IF(('Pl 2016-20 PFC'!B213)=0,"",'Pl 2016-20 PFC'!B213)</f>
        <v>- zakup usług obejmujących tłumaczenia</v>
      </c>
      <c r="C207" s="2148"/>
      <c r="D207" s="377"/>
      <c r="E207" s="939"/>
      <c r="F207" s="939"/>
      <c r="G207" s="2097" t="str">
        <f>IF(('Pl 2016-20 PFC'!G213)=0,"",'Pl 2016-20 PFC'!G213)</f>
        <v/>
      </c>
      <c r="H207" s="2097" t="str">
        <f>IF(('Pl 2016-20 PFC'!H213)=0,"",'Pl 2016-20 PFC'!H213)</f>
        <v/>
      </c>
      <c r="I207" s="2097" t="str">
        <f>IF(('Pl 2016-20 PFC'!I213)=0,"",'Pl 2016-20 PFC'!I213)</f>
        <v/>
      </c>
      <c r="J207" s="2097" t="str">
        <f>IF(('Pl 2016-20 PFC'!I213)=0,"",'Pl 2016-20 PFC'!I213)</f>
        <v/>
      </c>
      <c r="K207" s="939"/>
      <c r="L207" s="2028"/>
      <c r="M207" s="994"/>
      <c r="N207" s="994"/>
      <c r="O207" s="994"/>
      <c r="P207" s="994"/>
      <c r="Q207" s="994"/>
      <c r="R207" s="339"/>
      <c r="S207" s="339"/>
      <c r="T207" s="339"/>
      <c r="U207" s="339"/>
      <c r="V207" s="339"/>
      <c r="W207" s="339"/>
      <c r="X207" s="339"/>
      <c r="Y207" s="339"/>
      <c r="Z207" s="339"/>
      <c r="AA207" s="339"/>
      <c r="AB207" s="339"/>
      <c r="AC207" s="339"/>
      <c r="AD207" s="339"/>
      <c r="AE207" s="339"/>
      <c r="AF207" s="339"/>
      <c r="AG207" s="339"/>
      <c r="AH207" s="339"/>
      <c r="AI207" s="339"/>
      <c r="AJ207" s="339"/>
      <c r="AK207" s="339"/>
      <c r="AL207" s="339"/>
      <c r="AM207" s="339"/>
      <c r="AN207" s="341"/>
      <c r="AO207" s="341"/>
    </row>
    <row r="208" spans="1:41" s="342" customFormat="1" ht="18" hidden="1">
      <c r="A208" s="2146"/>
      <c r="B208" s="2141" t="str">
        <f>IF(('Pl 2016-20 PFC'!B214)=0,"",'Pl 2016-20 PFC'!B214)</f>
        <v>- czynsz</v>
      </c>
      <c r="C208" s="2148"/>
      <c r="D208" s="377"/>
      <c r="E208" s="939"/>
      <c r="F208" s="939"/>
      <c r="G208" s="2097" t="str">
        <f>IF(('Pl 2016-20 PFC'!G214)=0,"",'Pl 2016-20 PFC'!G214)</f>
        <v/>
      </c>
      <c r="H208" s="2097" t="str">
        <f>IF(('Pl 2016-20 PFC'!H214)=0,"",'Pl 2016-20 PFC'!H214)</f>
        <v/>
      </c>
      <c r="I208" s="2097" t="str">
        <f>IF(('Pl 2016-20 PFC'!I214)=0,"",'Pl 2016-20 PFC'!I214)</f>
        <v/>
      </c>
      <c r="J208" s="2097" t="str">
        <f>IF(('Pl 2016-20 PFC'!I214)=0,"",'Pl 2016-20 PFC'!I214)</f>
        <v/>
      </c>
      <c r="K208" s="939"/>
      <c r="L208" s="2028"/>
      <c r="M208" s="994"/>
      <c r="N208" s="994"/>
      <c r="O208" s="994"/>
      <c r="P208" s="994"/>
      <c r="Q208" s="994"/>
      <c r="R208" s="339"/>
      <c r="S208" s="339"/>
      <c r="T208" s="339"/>
      <c r="U208" s="339"/>
      <c r="V208" s="339"/>
      <c r="W208" s="339"/>
      <c r="X208" s="339"/>
      <c r="Y208" s="339"/>
      <c r="Z208" s="33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41"/>
      <c r="AO208" s="341"/>
    </row>
    <row r="209" spans="1:41" s="342" customFormat="1" ht="18" hidden="1">
      <c r="A209" s="2146"/>
      <c r="B209" s="2183" t="str">
        <f>IF(('Pl 2016-20 PFC'!B215)=0,"",'Pl 2016-20 PFC'!B215)</f>
        <v xml:space="preserve">  - pozostałe koszty</v>
      </c>
      <c r="C209" s="2148"/>
      <c r="D209" s="377"/>
      <c r="E209" s="939"/>
      <c r="F209" s="939"/>
      <c r="G209" s="2110" t="str">
        <f>IF(('Pl 2016-20 PFC'!G215)=0,"",'Pl 2016-20 PFC'!G215)</f>
        <v/>
      </c>
      <c r="H209" s="2110" t="str">
        <f>IF(('Pl 2016-20 PFC'!H215)=0,"",'Pl 2016-20 PFC'!H215)</f>
        <v/>
      </c>
      <c r="I209" s="2110" t="str">
        <f>IF(('Pl 2016-20 PFC'!I215)=0,"",'Pl 2016-20 PFC'!I215)</f>
        <v/>
      </c>
      <c r="J209" s="2110" t="str">
        <f>IF(('Pl 2016-20 PFC'!I215)=0,"",'Pl 2016-20 PFC'!I215)</f>
        <v/>
      </c>
      <c r="K209" s="939"/>
      <c r="L209" s="2028"/>
      <c r="M209" s="994"/>
      <c r="N209" s="994"/>
      <c r="O209" s="994"/>
      <c r="P209" s="994"/>
      <c r="Q209" s="994"/>
      <c r="R209" s="339"/>
      <c r="S209" s="339"/>
      <c r="T209" s="339"/>
      <c r="U209" s="339"/>
      <c r="V209" s="339"/>
      <c r="W209" s="339"/>
      <c r="X209" s="339"/>
      <c r="Y209" s="339"/>
      <c r="Z209" s="33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41"/>
      <c r="AO209" s="341"/>
    </row>
    <row r="210" spans="1:41" s="342" customFormat="1" ht="18" hidden="1">
      <c r="A210" s="2146"/>
      <c r="B210" s="2141" t="str">
        <f>IF(('Pl 2016-20 PFC'!B216)=0,"",'Pl 2016-20 PFC'!B216)</f>
        <v>- podróże służbowe krajowe</v>
      </c>
      <c r="C210" s="2148"/>
      <c r="D210" s="377"/>
      <c r="E210" s="939"/>
      <c r="F210" s="939"/>
      <c r="G210" s="2097" t="str">
        <f>IF(('Pl 2016-20 PFC'!G216)=0,"",'Pl 2016-20 PFC'!G216)</f>
        <v/>
      </c>
      <c r="H210" s="2097" t="str">
        <f>IF(('Pl 2016-20 PFC'!H216)=0,"",'Pl 2016-20 PFC'!H216)</f>
        <v/>
      </c>
      <c r="I210" s="2097" t="str">
        <f>IF(('Pl 2016-20 PFC'!I216)=0,"",'Pl 2016-20 PFC'!I216)</f>
        <v/>
      </c>
      <c r="J210" s="2097" t="str">
        <f>IF(('Pl 2016-20 PFC'!I216)=0,"",'Pl 2016-20 PFC'!I216)</f>
        <v/>
      </c>
      <c r="K210" s="939"/>
      <c r="L210" s="2028"/>
      <c r="M210" s="994"/>
      <c r="N210" s="994"/>
      <c r="O210" s="994"/>
      <c r="P210" s="994"/>
      <c r="Q210" s="994"/>
      <c r="R210" s="339"/>
      <c r="S210" s="339"/>
      <c r="T210" s="339"/>
      <c r="U210" s="339"/>
      <c r="V210" s="339"/>
      <c r="W210" s="339"/>
      <c r="X210" s="339"/>
      <c r="Y210" s="339"/>
      <c r="Z210" s="339"/>
      <c r="AA210" s="339"/>
      <c r="AB210" s="339"/>
      <c r="AC210" s="339"/>
      <c r="AD210" s="339"/>
      <c r="AE210" s="339"/>
      <c r="AF210" s="339"/>
      <c r="AG210" s="339"/>
      <c r="AH210" s="339"/>
      <c r="AI210" s="339"/>
      <c r="AJ210" s="339"/>
      <c r="AK210" s="339"/>
      <c r="AL210" s="339"/>
      <c r="AM210" s="339"/>
      <c r="AN210" s="341"/>
      <c r="AO210" s="341"/>
    </row>
    <row r="211" spans="1:41" s="342" customFormat="1" ht="18" hidden="1">
      <c r="A211" s="2146"/>
      <c r="B211" s="2141" t="str">
        <f>IF(('Pl 2016-20 PFC'!B217)=0,"",'Pl 2016-20 PFC'!B217)</f>
        <v>- podróże służbowe zagraniczne</v>
      </c>
      <c r="C211" s="2148"/>
      <c r="D211" s="377"/>
      <c r="E211" s="939"/>
      <c r="F211" s="939"/>
      <c r="G211" s="2097" t="str">
        <f>IF(('Pl 2016-20 PFC'!G217)=0,"",'Pl 2016-20 PFC'!G217)</f>
        <v/>
      </c>
      <c r="H211" s="2097" t="str">
        <f>IF(('Pl 2016-20 PFC'!H217)=0,"",'Pl 2016-20 PFC'!H217)</f>
        <v/>
      </c>
      <c r="I211" s="2097" t="str">
        <f>IF(('Pl 2016-20 PFC'!I217)=0,"",'Pl 2016-20 PFC'!I217)</f>
        <v/>
      </c>
      <c r="J211" s="2097" t="str">
        <f>IF(('Pl 2016-20 PFC'!I217)=0,"",'Pl 2016-20 PFC'!I217)</f>
        <v/>
      </c>
      <c r="K211" s="939"/>
      <c r="L211" s="2028"/>
      <c r="M211" s="994"/>
      <c r="N211" s="994"/>
      <c r="O211" s="994"/>
      <c r="P211" s="994"/>
      <c r="Q211" s="994"/>
      <c r="R211" s="339"/>
      <c r="S211" s="339"/>
      <c r="T211" s="339"/>
      <c r="U211" s="339"/>
      <c r="V211" s="339"/>
      <c r="W211" s="339"/>
      <c r="X211" s="339"/>
      <c r="Y211" s="339"/>
      <c r="Z211" s="339"/>
      <c r="AA211" s="339"/>
      <c r="AB211" s="339"/>
      <c r="AC211" s="339"/>
      <c r="AD211" s="339"/>
      <c r="AE211" s="339"/>
      <c r="AF211" s="339"/>
      <c r="AG211" s="339"/>
      <c r="AH211" s="339"/>
      <c r="AI211" s="339"/>
      <c r="AJ211" s="339"/>
      <c r="AK211" s="339"/>
      <c r="AL211" s="339"/>
      <c r="AM211" s="339"/>
      <c r="AN211" s="341"/>
      <c r="AO211" s="341"/>
    </row>
    <row r="212" spans="1:41" s="342" customFormat="1" ht="18" hidden="1">
      <c r="A212" s="2146"/>
      <c r="B212" s="2141" t="str">
        <f>IF(('Pl 2016-20 PFC'!B218)=0,"",'Pl 2016-20 PFC'!B218)</f>
        <v>- amortyzacja majątku trwałego</v>
      </c>
      <c r="C212" s="2148"/>
      <c r="D212" s="377"/>
      <c r="E212" s="939"/>
      <c r="F212" s="939"/>
      <c r="G212" s="2097" t="str">
        <f>IF(('Pl 2016-20 PFC'!G218)=0,"",'Pl 2016-20 PFC'!G218)</f>
        <v/>
      </c>
      <c r="H212" s="2097" t="str">
        <f>IF(('Pl 2016-20 PFC'!H218)=0,"",'Pl 2016-20 PFC'!H218)</f>
        <v/>
      </c>
      <c r="I212" s="2097" t="str">
        <f>IF(('Pl 2016-20 PFC'!I218)=0,"",'Pl 2016-20 PFC'!I218)</f>
        <v/>
      </c>
      <c r="J212" s="2097" t="str">
        <f>IF(('Pl 2016-20 PFC'!I218)=0,"",'Pl 2016-20 PFC'!I218)</f>
        <v/>
      </c>
      <c r="K212" s="939"/>
      <c r="L212" s="2028"/>
      <c r="M212" s="994"/>
      <c r="N212" s="994"/>
      <c r="O212" s="994"/>
      <c r="P212" s="994"/>
      <c r="Q212" s="994"/>
      <c r="R212" s="339"/>
      <c r="S212" s="339"/>
      <c r="T212" s="339"/>
      <c r="U212" s="339"/>
      <c r="V212" s="339"/>
      <c r="W212" s="339"/>
      <c r="X212" s="339"/>
      <c r="Y212" s="339"/>
      <c r="Z212" s="339"/>
      <c r="AA212" s="339"/>
      <c r="AB212" s="339"/>
      <c r="AC212" s="339"/>
      <c r="AD212" s="339"/>
      <c r="AE212" s="339"/>
      <c r="AF212" s="339"/>
      <c r="AG212" s="339"/>
      <c r="AH212" s="339"/>
      <c r="AI212" s="339"/>
      <c r="AJ212" s="339"/>
      <c r="AK212" s="339"/>
      <c r="AL212" s="339"/>
      <c r="AM212" s="339"/>
      <c r="AN212" s="341"/>
      <c r="AO212" s="341"/>
    </row>
    <row r="213" spans="1:41" s="342" customFormat="1" ht="18" hidden="1">
      <c r="A213" s="2146"/>
      <c r="B213" s="2141" t="e">
        <f>IF(('Pl 2016-20 PFC'!#REF!)=0,"",'Pl 2016-20 PFC'!#REF!)</f>
        <v>#REF!</v>
      </c>
      <c r="C213" s="2148"/>
      <c r="D213" s="377"/>
      <c r="E213" s="939"/>
      <c r="F213" s="939"/>
      <c r="G213" s="2097" t="e">
        <f>IF(('Pl 2016-20 PFC'!#REF!)=0,"",'Pl 2016-20 PFC'!#REF!)</f>
        <v>#REF!</v>
      </c>
      <c r="H213" s="2097" t="e">
        <f>IF(('Pl 2016-20 PFC'!#REF!)=0,"",'Pl 2016-20 PFC'!#REF!)</f>
        <v>#REF!</v>
      </c>
      <c r="I213" s="2097" t="e">
        <f>IF(('Pl 2016-20 PFC'!#REF!)=0,"",'Pl 2016-20 PFC'!#REF!)</f>
        <v>#REF!</v>
      </c>
      <c r="J213" s="2097" t="e">
        <f>IF(('Pl 2016-20 PFC'!#REF!)=0,"",'Pl 2016-20 PFC'!#REF!)</f>
        <v>#REF!</v>
      </c>
      <c r="K213" s="939"/>
      <c r="L213" s="2028"/>
      <c r="M213" s="994"/>
      <c r="N213" s="994"/>
      <c r="O213" s="994"/>
      <c r="P213" s="994"/>
      <c r="Q213" s="994"/>
      <c r="R213" s="339"/>
      <c r="S213" s="339"/>
      <c r="T213" s="339"/>
      <c r="U213" s="339"/>
      <c r="V213" s="339"/>
      <c r="W213" s="339"/>
      <c r="X213" s="339"/>
      <c r="Y213" s="339"/>
      <c r="Z213" s="339"/>
      <c r="AA213" s="339"/>
      <c r="AB213" s="339"/>
      <c r="AC213" s="339"/>
      <c r="AD213" s="339"/>
      <c r="AE213" s="339"/>
      <c r="AF213" s="339"/>
      <c r="AG213" s="339"/>
      <c r="AH213" s="339"/>
      <c r="AI213" s="339"/>
      <c r="AJ213" s="339"/>
      <c r="AK213" s="339"/>
      <c r="AL213" s="339"/>
      <c r="AM213" s="339"/>
      <c r="AN213" s="341"/>
      <c r="AO213" s="341"/>
    </row>
    <row r="214" spans="1:41" s="342" customFormat="1" ht="18" hidden="1">
      <c r="A214" s="2146"/>
      <c r="B214" s="2141" t="str">
        <f>IF(('Pl 2016-20 PFC'!B219)=0,"",'Pl 2016-20 PFC'!B219)</f>
        <v>Zakupy inwestycyjne (własne)</v>
      </c>
      <c r="C214" s="2148"/>
      <c r="D214" s="377"/>
      <c r="E214" s="939"/>
      <c r="F214" s="939"/>
      <c r="G214" s="2097" t="str">
        <f>IF(('Pl 2016-20 PFC'!G219)=0,"",'Pl 2016-20 PFC'!G219)</f>
        <v/>
      </c>
      <c r="H214" s="2097" t="str">
        <f>IF(('Pl 2016-20 PFC'!H219)=0,"",'Pl 2016-20 PFC'!H219)</f>
        <v/>
      </c>
      <c r="I214" s="2097" t="str">
        <f>IF(('Pl 2016-20 PFC'!I219)=0,"",'Pl 2016-20 PFC'!I219)</f>
        <v/>
      </c>
      <c r="J214" s="2097" t="str">
        <f>IF(('Pl 2016-20 PFC'!I219)=0,"",'Pl 2016-20 PFC'!I219)</f>
        <v/>
      </c>
      <c r="K214" s="939"/>
      <c r="L214" s="2028"/>
      <c r="M214" s="994"/>
      <c r="N214" s="994"/>
      <c r="O214" s="994"/>
      <c r="P214" s="994"/>
      <c r="Q214" s="994"/>
      <c r="R214" s="339"/>
      <c r="S214" s="339"/>
      <c r="T214" s="339"/>
      <c r="U214" s="339"/>
      <c r="V214" s="339"/>
      <c r="W214" s="339"/>
      <c r="X214" s="339"/>
      <c r="Y214" s="339"/>
      <c r="Z214" s="339"/>
      <c r="AA214" s="339"/>
      <c r="AB214" s="339"/>
      <c r="AC214" s="339"/>
      <c r="AD214" s="339"/>
      <c r="AE214" s="339"/>
      <c r="AF214" s="339"/>
      <c r="AG214" s="339"/>
      <c r="AH214" s="339"/>
      <c r="AI214" s="339"/>
      <c r="AJ214" s="339"/>
      <c r="AK214" s="339"/>
      <c r="AL214" s="339"/>
      <c r="AM214" s="339"/>
      <c r="AN214" s="341"/>
      <c r="AO214" s="341"/>
    </row>
    <row r="215" spans="1:41" s="342" customFormat="1" ht="18" hidden="1">
      <c r="A215" s="2146"/>
      <c r="B215" s="2183" t="str">
        <f>IF(('Pl 2016-20 PFC'!B220)=0,"",'Pl 2016-20 PFC'!B220)</f>
        <v>Dotacje inwestycyjne</v>
      </c>
      <c r="C215" s="2148"/>
      <c r="D215" s="377"/>
      <c r="E215" s="939"/>
      <c r="F215" s="939"/>
      <c r="G215" s="2110" t="str">
        <f>IF(('Pl 2016-20 PFC'!G220)=0,"",'Pl 2016-20 PFC'!G220)</f>
        <v/>
      </c>
      <c r="H215" s="2110" t="str">
        <f>IF(('Pl 2016-20 PFC'!H220)=0,"",'Pl 2016-20 PFC'!H220)</f>
        <v/>
      </c>
      <c r="I215" s="2110" t="str">
        <f>IF(('Pl 2016-20 PFC'!I220)=0,"",'Pl 2016-20 PFC'!I220)</f>
        <v/>
      </c>
      <c r="J215" s="2110" t="str">
        <f>IF(('Pl 2016-20 PFC'!I220)=0,"",'Pl 2016-20 PFC'!I220)</f>
        <v/>
      </c>
      <c r="K215" s="939"/>
      <c r="L215" s="2028"/>
      <c r="M215" s="994"/>
      <c r="N215" s="994"/>
      <c r="O215" s="994"/>
      <c r="P215" s="994"/>
      <c r="Q215" s="994"/>
      <c r="R215" s="339"/>
      <c r="S215" s="339"/>
      <c r="T215" s="339"/>
      <c r="U215" s="339"/>
      <c r="V215" s="339"/>
      <c r="W215" s="339"/>
      <c r="X215" s="339"/>
      <c r="Y215" s="339"/>
      <c r="Z215" s="339"/>
      <c r="AA215" s="339"/>
      <c r="AB215" s="339"/>
      <c r="AC215" s="339"/>
      <c r="AD215" s="339"/>
      <c r="AE215" s="339"/>
      <c r="AF215" s="339"/>
      <c r="AG215" s="339"/>
      <c r="AH215" s="339"/>
      <c r="AI215" s="339"/>
      <c r="AJ215" s="339"/>
      <c r="AK215" s="339"/>
      <c r="AL215" s="339"/>
      <c r="AM215" s="339"/>
      <c r="AN215" s="341"/>
      <c r="AO215" s="341"/>
    </row>
    <row r="216" spans="1:41" s="342" customFormat="1" ht="18" hidden="1">
      <c r="A216" s="2146"/>
      <c r="B216" s="2141" t="str">
        <f>IF(('Pl 2016-20 PFC'!B221)=0,"",'Pl 2016-20 PFC'!B221)</f>
        <v>-dla sektora finansów publicznych</v>
      </c>
      <c r="C216" s="2148"/>
      <c r="D216" s="377"/>
      <c r="E216" s="939"/>
      <c r="F216" s="939"/>
      <c r="G216" s="2097" t="str">
        <f>IF(('Pl 2016-20 PFC'!G221)=0,"",'Pl 2016-20 PFC'!G221)</f>
        <v/>
      </c>
      <c r="H216" s="2097" t="str">
        <f>IF(('Pl 2016-20 PFC'!H221)=0,"",'Pl 2016-20 PFC'!H221)</f>
        <v/>
      </c>
      <c r="I216" s="2097" t="str">
        <f>IF(('Pl 2016-20 PFC'!I221)=0,"",'Pl 2016-20 PFC'!I221)</f>
        <v/>
      </c>
      <c r="J216" s="2097" t="str">
        <f>IF(('Pl 2016-20 PFC'!I221)=0,"",'Pl 2016-20 PFC'!I221)</f>
        <v/>
      </c>
      <c r="K216" s="939"/>
      <c r="L216" s="2028"/>
      <c r="M216" s="994"/>
      <c r="N216" s="994"/>
      <c r="O216" s="994"/>
      <c r="P216" s="994"/>
      <c r="Q216" s="994"/>
      <c r="R216" s="339"/>
      <c r="S216" s="339"/>
      <c r="T216" s="339"/>
      <c r="U216" s="339"/>
      <c r="V216" s="339"/>
      <c r="W216" s="339"/>
      <c r="X216" s="339"/>
      <c r="Y216" s="339"/>
      <c r="Z216" s="339"/>
      <c r="AA216" s="339"/>
      <c r="AB216" s="339"/>
      <c r="AC216" s="339"/>
      <c r="AD216" s="339"/>
      <c r="AE216" s="339"/>
      <c r="AF216" s="339"/>
      <c r="AG216" s="339"/>
      <c r="AH216" s="339"/>
      <c r="AI216" s="339"/>
      <c r="AJ216" s="339"/>
      <c r="AK216" s="339"/>
      <c r="AL216" s="339"/>
      <c r="AM216" s="339"/>
      <c r="AN216" s="341"/>
      <c r="AO216" s="341"/>
    </row>
    <row r="217" spans="1:41" s="342" customFormat="1" ht="18" hidden="1">
      <c r="A217" s="2146"/>
      <c r="B217" s="2141" t="str">
        <f>IF(('Pl 2016-20 PFC'!B222)=0,"",'Pl 2016-20 PFC'!B222)</f>
        <v>-dla jednostek niezaliczanych do sektora finansów publicznych</v>
      </c>
      <c r="C217" s="2148"/>
      <c r="D217" s="377"/>
      <c r="E217" s="939"/>
      <c r="F217" s="939"/>
      <c r="G217" s="2097" t="str">
        <f>IF(('Pl 2016-20 PFC'!G222)=0,"",'Pl 2016-20 PFC'!G222)</f>
        <v/>
      </c>
      <c r="H217" s="2097" t="str">
        <f>IF(('Pl 2016-20 PFC'!H222)=0,"",'Pl 2016-20 PFC'!H222)</f>
        <v/>
      </c>
      <c r="I217" s="2097" t="str">
        <f>IF(('Pl 2016-20 PFC'!I222)=0,"",'Pl 2016-20 PFC'!I222)</f>
        <v/>
      </c>
      <c r="J217" s="2097" t="str">
        <f>IF(('Pl 2016-20 PFC'!I222)=0,"",'Pl 2016-20 PFC'!I222)</f>
        <v/>
      </c>
      <c r="K217" s="939"/>
      <c r="L217" s="2028"/>
      <c r="M217" s="994"/>
      <c r="N217" s="994"/>
      <c r="O217" s="994"/>
      <c r="P217" s="994"/>
      <c r="Q217" s="994"/>
      <c r="R217" s="339"/>
      <c r="S217" s="339"/>
      <c r="T217" s="339"/>
      <c r="U217" s="339"/>
      <c r="V217" s="339"/>
      <c r="W217" s="339"/>
      <c r="X217" s="339"/>
      <c r="Y217" s="339"/>
      <c r="Z217" s="33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41"/>
      <c r="AO217" s="341"/>
    </row>
    <row r="218" spans="1:41" ht="18">
      <c r="A218" s="2146">
        <v>4</v>
      </c>
      <c r="B218" s="2141" t="s">
        <v>395</v>
      </c>
      <c r="C218" s="2148" t="s">
        <v>81</v>
      </c>
      <c r="D218" s="346">
        <f>SUM(D220,D221,D224,D226,D231,D233,D267)</f>
        <v>305662000</v>
      </c>
      <c r="E218" s="938">
        <f>SUM(E220,E221,E224,E226,E231,E233,E267)</f>
        <v>305647000</v>
      </c>
      <c r="F218" s="938">
        <f>SUM(F220,F221,F224,F226,F231,F233,F267)</f>
        <v>311302726</v>
      </c>
      <c r="G218" s="2097">
        <f>SUM(G220,G221,G224,G226,G231,G233,G267)</f>
        <v>335334000</v>
      </c>
      <c r="H218" s="2097">
        <f t="shared" si="10"/>
        <v>24031274</v>
      </c>
      <c r="I218" s="2097">
        <f>SUM(I220,I221,I224,I226,I231,I233,I267)</f>
        <v>0</v>
      </c>
      <c r="J218" s="2097">
        <f>SUM(J220,J221,J224,J226,J231,J233,J267)</f>
        <v>335334000</v>
      </c>
      <c r="K218" s="938" t="e">
        <f>SUM(K220,K221,K224,K226,K231,K233,K267)</f>
        <v>#REF!</v>
      </c>
      <c r="L218" s="991">
        <f t="shared" si="9"/>
        <v>109.71283866682808</v>
      </c>
      <c r="M218" s="986"/>
      <c r="N218" s="986"/>
      <c r="O218" s="986"/>
      <c r="P218" s="986"/>
      <c r="Q218" s="986"/>
    </row>
    <row r="219" spans="1:41" ht="18">
      <c r="A219" s="2146" t="s">
        <v>87</v>
      </c>
      <c r="B219" s="2141" t="s">
        <v>396</v>
      </c>
      <c r="C219" s="2148" t="s">
        <v>81</v>
      </c>
      <c r="D219" s="346">
        <f>SUM(D220:D221)</f>
        <v>53482000</v>
      </c>
      <c r="E219" s="938">
        <f>SUM(E220:E221)</f>
        <v>53482000</v>
      </c>
      <c r="F219" s="938">
        <f>SUM(F220:F221)</f>
        <v>63502000</v>
      </c>
      <c r="G219" s="2097">
        <f>SUM(G220:G221)</f>
        <v>58754000</v>
      </c>
      <c r="H219" s="2097">
        <f t="shared" si="10"/>
        <v>-4748000</v>
      </c>
      <c r="I219" s="2097">
        <f>SUM(I220:I221)</f>
        <v>0</v>
      </c>
      <c r="J219" s="2097">
        <f>SUM(J220:J221)</f>
        <v>58754000</v>
      </c>
      <c r="K219" s="938" t="e">
        <f>SUM(K220:K221)</f>
        <v>#REF!</v>
      </c>
      <c r="L219" s="991">
        <f t="shared" si="9"/>
        <v>109.8575221569874</v>
      </c>
      <c r="M219" s="986"/>
      <c r="N219" s="986"/>
      <c r="O219" s="986"/>
      <c r="P219" s="986"/>
      <c r="Q219" s="986"/>
    </row>
    <row r="220" spans="1:41" ht="18">
      <c r="A220" s="2146" t="s">
        <v>200</v>
      </c>
      <c r="B220" s="2141" t="s">
        <v>397</v>
      </c>
      <c r="C220" s="2148" t="s">
        <v>1048</v>
      </c>
      <c r="D220" s="346">
        <f>D223</f>
        <v>52282000</v>
      </c>
      <c r="E220" s="938">
        <f>'Pl 2016-20 PFC'!E225</f>
        <v>52282000</v>
      </c>
      <c r="F220" s="938">
        <f>'Pl 2016-20 PFC'!F225</f>
        <v>62282000</v>
      </c>
      <c r="G220" s="2097">
        <f>'Pl 2016-20 PFC'!G225</f>
        <v>57554000</v>
      </c>
      <c r="H220" s="2097" t="e">
        <f>'Pl 2016-20 PFC'!#REF!</f>
        <v>#REF!</v>
      </c>
      <c r="I220" s="2097">
        <f>'Pl 2016-20 PFC'!H225</f>
        <v>0</v>
      </c>
      <c r="J220" s="2097">
        <f>'Pl 2016-20 PFC'!I225</f>
        <v>57554000</v>
      </c>
      <c r="K220" s="938" t="e">
        <f>'Pl 2016-20 PFC'!#REF!</f>
        <v>#REF!</v>
      </c>
      <c r="L220" s="991">
        <f t="shared" si="9"/>
        <v>110.08377644313531</v>
      </c>
      <c r="M220" s="986"/>
      <c r="N220" s="986"/>
      <c r="O220" s="986"/>
      <c r="P220" s="986"/>
      <c r="Q220" s="986"/>
    </row>
    <row r="221" spans="1:41" ht="18">
      <c r="A221" s="2146" t="s">
        <v>203</v>
      </c>
      <c r="B221" s="2141" t="s">
        <v>398</v>
      </c>
      <c r="C221" s="2148" t="s">
        <v>205</v>
      </c>
      <c r="D221" s="346">
        <f>D229</f>
        <v>1200000</v>
      </c>
      <c r="E221" s="938">
        <f>E229</f>
        <v>1200000</v>
      </c>
      <c r="F221" s="938">
        <f>F229</f>
        <v>1220000</v>
      </c>
      <c r="G221" s="2097">
        <f>G229</f>
        <v>1200000</v>
      </c>
      <c r="H221" s="2097">
        <f t="shared" si="10"/>
        <v>-20000</v>
      </c>
      <c r="I221" s="2097" t="str">
        <f>I229</f>
        <v/>
      </c>
      <c r="J221" s="2097">
        <f>J229</f>
        <v>1200000</v>
      </c>
      <c r="K221" s="938" t="e">
        <f>K229</f>
        <v>#REF!</v>
      </c>
      <c r="L221" s="991">
        <f t="shared" si="9"/>
        <v>100</v>
      </c>
      <c r="M221" s="986"/>
      <c r="N221" s="986"/>
      <c r="O221" s="986"/>
      <c r="P221" s="986"/>
      <c r="Q221" s="986"/>
    </row>
    <row r="222" spans="1:41" ht="18" hidden="1">
      <c r="A222" s="2146" t="s">
        <v>87</v>
      </c>
      <c r="B222" s="2141" t="s">
        <v>399</v>
      </c>
      <c r="C222" s="2148" t="s">
        <v>400</v>
      </c>
      <c r="D222" s="346">
        <f>SUM(D223:D223)</f>
        <v>52282000</v>
      </c>
      <c r="E222" s="938">
        <f>SUM(E223:E223)</f>
        <v>52190000</v>
      </c>
      <c r="F222" s="938">
        <f>SUM(F223:F223)</f>
        <v>62282000</v>
      </c>
      <c r="G222" s="2097">
        <f>SUM(G223:G223)</f>
        <v>57510000</v>
      </c>
      <c r="H222" s="2097">
        <f t="shared" si="10"/>
        <v>-4772000</v>
      </c>
      <c r="I222" s="2097">
        <f>SUM(I223:I223)</f>
        <v>0</v>
      </c>
      <c r="J222" s="2097">
        <f>SUM(J223:J223)</f>
        <v>57510000</v>
      </c>
      <c r="K222" s="938" t="e">
        <f>SUM(K223:K223)</f>
        <v>#REF!</v>
      </c>
      <c r="L222" s="991">
        <f t="shared" si="9"/>
        <v>110.19352366353708</v>
      </c>
      <c r="M222" s="986"/>
      <c r="N222" s="986"/>
      <c r="O222" s="986"/>
      <c r="P222" s="986"/>
      <c r="Q222" s="986"/>
    </row>
    <row r="223" spans="1:41" ht="18" hidden="1">
      <c r="A223" s="2146" t="s">
        <v>200</v>
      </c>
      <c r="B223" s="2141" t="s">
        <v>145</v>
      </c>
      <c r="C223" s="2148" t="s">
        <v>401</v>
      </c>
      <c r="D223" s="346">
        <f>IF(('Pl 2016-20 PFC'!D226)=0,"",'Pl 2016-20 PFC'!D226)</f>
        <v>52282000</v>
      </c>
      <c r="E223" s="938">
        <f>IF(('Pl 2016-20 PFC'!E226)=0,"",'Pl 2016-20 PFC'!E226)</f>
        <v>52190000</v>
      </c>
      <c r="F223" s="938">
        <f>IF(('Pl 2016-20 PFC'!F226)=0,"",'Pl 2016-20 PFC'!F226)</f>
        <v>62282000</v>
      </c>
      <c r="G223" s="2097">
        <f>IF(('Pl 2016-20 PFC'!G226)=0,"",'Pl 2016-20 PFC'!G226)</f>
        <v>57510000</v>
      </c>
      <c r="H223" s="2097">
        <f t="shared" si="10"/>
        <v>-4772000</v>
      </c>
      <c r="I223" s="2097" t="str">
        <f>IF(('Pl 2016-20 PFC'!H226)=0,"",'Pl 2016-20 PFC'!H226)</f>
        <v/>
      </c>
      <c r="J223" s="2097">
        <f>IF(('Pl 2016-20 PFC'!I226)=0,"",'Pl 2016-20 PFC'!I226)</f>
        <v>57510000</v>
      </c>
      <c r="K223" s="938" t="e">
        <f>IF(('Pl 2016-20 PFC'!#REF!)=0,"",'Pl 2016-20 PFC'!#REF!)</f>
        <v>#REF!</v>
      </c>
      <c r="L223" s="991">
        <f t="shared" si="9"/>
        <v>110.19352366353708</v>
      </c>
      <c r="M223" s="986"/>
      <c r="N223" s="986"/>
      <c r="O223" s="986"/>
      <c r="P223" s="986"/>
      <c r="Q223" s="986"/>
    </row>
    <row r="224" spans="1:41" ht="18">
      <c r="A224" s="2146" t="s">
        <v>89</v>
      </c>
      <c r="B224" s="2141" t="s">
        <v>402</v>
      </c>
      <c r="C224" s="2148" t="s">
        <v>1049</v>
      </c>
      <c r="D224" s="346">
        <f>SUM(D225:D225)</f>
        <v>9392000</v>
      </c>
      <c r="E224" s="938">
        <f>'Pl 2016-20 PFC'!E230</f>
        <v>9392000</v>
      </c>
      <c r="F224" s="938">
        <f>SUM(F225:F225)</f>
        <v>11866000</v>
      </c>
      <c r="G224" s="2097">
        <f>'Pl 2016-20 PFC'!G230</f>
        <v>11100000</v>
      </c>
      <c r="H224" s="2097" t="e">
        <f>'Pl 2016-20 PFC'!#REF!</f>
        <v>#REF!</v>
      </c>
      <c r="I224" s="2097">
        <f>'Pl 2016-20 PFC'!H230</f>
        <v>0</v>
      </c>
      <c r="J224" s="2097">
        <f>'Pl 2016-20 PFC'!I230</f>
        <v>11100000</v>
      </c>
      <c r="K224" s="938" t="e">
        <f>'Pl 2016-20 PFC'!#REF!</f>
        <v>#REF!</v>
      </c>
      <c r="L224" s="991">
        <f t="shared" si="9"/>
        <v>118.18568994889267</v>
      </c>
      <c r="M224" s="986"/>
      <c r="N224" s="986"/>
      <c r="O224" s="986"/>
      <c r="P224" s="986"/>
      <c r="Q224" s="986"/>
    </row>
    <row r="225" spans="1:41" ht="18" hidden="1">
      <c r="A225" s="2146" t="s">
        <v>403</v>
      </c>
      <c r="B225" s="2141" t="s">
        <v>145</v>
      </c>
      <c r="C225" s="2148" t="s">
        <v>208</v>
      </c>
      <c r="D225" s="346">
        <f>IF(('Pl 2016-20 PFC'!D231)=0,"",'Pl 2016-20 PFC'!D231)</f>
        <v>9392000</v>
      </c>
      <c r="E225" s="938">
        <f>IF(('Pl 2016-20 PFC'!E231)=0,"",'Pl 2016-20 PFC'!E231)</f>
        <v>9362000</v>
      </c>
      <c r="F225" s="938">
        <f>IF(('Pl 2016-20 PFC'!F231)=0,"",'Pl 2016-20 PFC'!F231)</f>
        <v>11866000</v>
      </c>
      <c r="G225" s="2097">
        <f>IF(('Pl 2016-20 PFC'!G231)=0,"",'Pl 2016-20 PFC'!G231)</f>
        <v>11092000</v>
      </c>
      <c r="H225" s="2097">
        <f t="shared" si="10"/>
        <v>-774000</v>
      </c>
      <c r="I225" s="2097" t="str">
        <f>IF(('Pl 2016-20 PFC'!H231)=0,"",'Pl 2016-20 PFC'!H231)</f>
        <v/>
      </c>
      <c r="J225" s="2097">
        <f>IF(('Pl 2016-20 PFC'!I231)=0,"",'Pl 2016-20 PFC'!I231)</f>
        <v>11092000</v>
      </c>
      <c r="K225" s="938" t="e">
        <f>IF(('Pl 2016-20 PFC'!#REF!)=0,"",'Pl 2016-20 PFC'!#REF!)</f>
        <v>#REF!</v>
      </c>
      <c r="L225" s="991">
        <f t="shared" si="9"/>
        <v>118.4789574877163</v>
      </c>
      <c r="M225" s="986"/>
      <c r="N225" s="986"/>
      <c r="O225" s="986"/>
      <c r="P225" s="986"/>
      <c r="Q225" s="986"/>
    </row>
    <row r="226" spans="1:41" ht="18">
      <c r="A226" s="2146" t="s">
        <v>206</v>
      </c>
      <c r="B226" s="2141" t="s">
        <v>404</v>
      </c>
      <c r="C226" s="2148" t="s">
        <v>1055</v>
      </c>
      <c r="D226" s="346">
        <f>SUM(D227:D227)</f>
        <v>1311000</v>
      </c>
      <c r="E226" s="938">
        <f>'Pl 2016-20 PFC'!E233</f>
        <v>1311000</v>
      </c>
      <c r="F226" s="938">
        <f>SUM(F227:F227)</f>
        <v>1660000</v>
      </c>
      <c r="G226" s="2097">
        <f>'Pl 2016-20 PFC'!G233</f>
        <v>1544000</v>
      </c>
      <c r="H226" s="2097" t="e">
        <f>'Pl 2016-20 PFC'!#REF!</f>
        <v>#REF!</v>
      </c>
      <c r="I226" s="2097">
        <f>'Pl 2016-20 PFC'!H233</f>
        <v>0</v>
      </c>
      <c r="J226" s="2097">
        <f>'Pl 2016-20 PFC'!I233</f>
        <v>1544000</v>
      </c>
      <c r="K226" s="938" t="e">
        <f>'Pl 2016-20 PFC'!#REF!</f>
        <v>#REF!</v>
      </c>
      <c r="L226" s="991">
        <f t="shared" si="9"/>
        <v>117.77269260106789</v>
      </c>
      <c r="M226" s="986"/>
      <c r="N226" s="986"/>
      <c r="O226" s="986"/>
      <c r="P226" s="986"/>
      <c r="Q226" s="986"/>
    </row>
    <row r="227" spans="1:41" ht="18" hidden="1">
      <c r="A227" s="2146" t="s">
        <v>405</v>
      </c>
      <c r="B227" s="2141" t="s">
        <v>145</v>
      </c>
      <c r="C227" s="2148" t="s">
        <v>211</v>
      </c>
      <c r="D227" s="346">
        <f>IF(('Pl 2016-20 PFC'!D234)=0,"",'Pl 2016-20 PFC'!D234)</f>
        <v>1311000</v>
      </c>
      <c r="E227" s="938">
        <f>IF(('Pl 2016-20 PFC'!E234)=0,"",'Pl 2016-20 PFC'!E234)</f>
        <v>1293000</v>
      </c>
      <c r="F227" s="938">
        <f>IF(('Pl 2016-20 PFC'!F234)=0,"",'Pl 2016-20 PFC'!F234)</f>
        <v>1660000</v>
      </c>
      <c r="G227" s="2097">
        <f>IF(('Pl 2016-20 PFC'!G234)=0,"",'Pl 2016-20 PFC'!G234)</f>
        <v>1543000</v>
      </c>
      <c r="H227" s="2097">
        <f t="shared" si="10"/>
        <v>-117000</v>
      </c>
      <c r="I227" s="2097" t="str">
        <f>IF(('Pl 2016-20 PFC'!H234)=0,"",'Pl 2016-20 PFC'!H234)</f>
        <v/>
      </c>
      <c r="J227" s="2097">
        <f>IF(('Pl 2016-20 PFC'!I234)=0,"",'Pl 2016-20 PFC'!I234)</f>
        <v>1543000</v>
      </c>
      <c r="K227" s="938" t="e">
        <f>IF(('Pl 2016-20 PFC'!#REF!)=0,"",'Pl 2016-20 PFC'!#REF!)</f>
        <v>#REF!</v>
      </c>
      <c r="L227" s="991">
        <f t="shared" si="9"/>
        <v>119.33488012374323</v>
      </c>
      <c r="M227" s="986"/>
      <c r="N227" s="986"/>
      <c r="O227" s="986"/>
      <c r="P227" s="986"/>
      <c r="Q227" s="986"/>
    </row>
    <row r="228" spans="1:41" ht="18" hidden="1">
      <c r="A228" s="2146" t="s">
        <v>209</v>
      </c>
      <c r="B228" s="2141" t="s">
        <v>406</v>
      </c>
      <c r="C228" s="2148" t="s">
        <v>205</v>
      </c>
      <c r="D228" s="346">
        <f>SUM(D229:D229)</f>
        <v>1200000</v>
      </c>
      <c r="E228" s="938">
        <f>SUM(E229:E229)</f>
        <v>1200000</v>
      </c>
      <c r="F228" s="938">
        <f>SUM(F229:F229)</f>
        <v>1220000</v>
      </c>
      <c r="G228" s="2097">
        <f>SUM(G229:G229)</f>
        <v>1200000</v>
      </c>
      <c r="H228" s="2097">
        <f t="shared" si="10"/>
        <v>-20000</v>
      </c>
      <c r="I228" s="2097">
        <f>SUM(I229:I229)</f>
        <v>0</v>
      </c>
      <c r="J228" s="2097">
        <f>SUM(J229:J229)</f>
        <v>1200000</v>
      </c>
      <c r="K228" s="938" t="e">
        <f>SUM(K229:K229)</f>
        <v>#REF!</v>
      </c>
      <c r="L228" s="991">
        <f t="shared" si="9"/>
        <v>100</v>
      </c>
      <c r="M228" s="986"/>
      <c r="N228" s="986"/>
      <c r="O228" s="986"/>
      <c r="P228" s="986"/>
      <c r="Q228" s="986"/>
    </row>
    <row r="229" spans="1:41" ht="18" hidden="1">
      <c r="A229" s="2146" t="s">
        <v>407</v>
      </c>
      <c r="B229" s="2141" t="s">
        <v>145</v>
      </c>
      <c r="C229" s="2148" t="s">
        <v>205</v>
      </c>
      <c r="D229" s="346">
        <f>IF(('Pl 2016-20 PFC'!D229)=0,"",'Pl 2016-20 PFC'!D229)</f>
        <v>1200000</v>
      </c>
      <c r="E229" s="938">
        <f>IF(('Pl 2016-20 PFC'!E229)=0,"",'Pl 2016-20 PFC'!E229)</f>
        <v>1200000</v>
      </c>
      <c r="F229" s="938">
        <f>IF(('Pl 2016-20 PFC'!F229)=0,"",'Pl 2016-20 PFC'!F229)</f>
        <v>1220000</v>
      </c>
      <c r="G229" s="2097">
        <f>IF(('Pl 2016-20 PFC'!G229)=0,"",'Pl 2016-20 PFC'!G229)</f>
        <v>1200000</v>
      </c>
      <c r="H229" s="2097">
        <f t="shared" si="10"/>
        <v>-20000</v>
      </c>
      <c r="I229" s="2097" t="str">
        <f>IF(('Pl 2016-20 PFC'!H229)=0,"",'Pl 2016-20 PFC'!H229)</f>
        <v/>
      </c>
      <c r="J229" s="2097">
        <f>IF(('Pl 2016-20 PFC'!I229)=0,"",'Pl 2016-20 PFC'!I229)</f>
        <v>1200000</v>
      </c>
      <c r="K229" s="938" t="e">
        <f>IF(('Pl 2016-20 PFC'!#REF!)=0,"",'Pl 2016-20 PFC'!#REF!)</f>
        <v>#REF!</v>
      </c>
      <c r="L229" s="991">
        <f t="shared" si="9"/>
        <v>100</v>
      </c>
      <c r="M229" s="986"/>
      <c r="N229" s="986"/>
      <c r="O229" s="986"/>
      <c r="P229" s="986"/>
      <c r="Q229" s="986"/>
    </row>
    <row r="230" spans="1:41" ht="18" hidden="1">
      <c r="A230" s="2146"/>
      <c r="B230" s="2141" t="str">
        <f>'Pl 2016-20 PFC'!B236</f>
        <v>Pozostałe</v>
      </c>
      <c r="C230" s="2148" t="s">
        <v>81</v>
      </c>
      <c r="D230" s="346">
        <f>D231+D233</f>
        <v>46477000</v>
      </c>
      <c r="E230" s="938">
        <f>E231+E233</f>
        <v>46462000</v>
      </c>
      <c r="F230" s="938"/>
      <c r="G230" s="2097"/>
      <c r="H230" s="2097">
        <f t="shared" si="10"/>
        <v>0</v>
      </c>
      <c r="I230" s="2097"/>
      <c r="J230" s="2097"/>
      <c r="K230" s="938"/>
      <c r="L230" s="991">
        <f t="shared" si="9"/>
        <v>0</v>
      </c>
      <c r="M230" s="986"/>
      <c r="N230" s="986"/>
      <c r="O230" s="986"/>
      <c r="P230" s="986"/>
      <c r="Q230" s="986"/>
    </row>
    <row r="231" spans="1:41" ht="18">
      <c r="A231" s="2146" t="s">
        <v>209</v>
      </c>
      <c r="B231" s="2141" t="s">
        <v>666</v>
      </c>
      <c r="C231" s="2148" t="s">
        <v>1076</v>
      </c>
      <c r="D231" s="346">
        <f>'Pl 2016-20 PFC'!D239</f>
        <v>16604000</v>
      </c>
      <c r="E231" s="938">
        <f>'Pl 2016-20 PFC'!E239</f>
        <v>17554000</v>
      </c>
      <c r="F231" s="938">
        <f>'Pl 2016-20 PFC'!F239</f>
        <v>17687000</v>
      </c>
      <c r="G231" s="2097">
        <f>'Pl 2016-20 PFC'!G239</f>
        <v>47348000</v>
      </c>
      <c r="H231" s="2097">
        <f>'Pl 2016-20 PFC'!H239</f>
        <v>0</v>
      </c>
      <c r="I231" s="2097">
        <f>'Pl 2016-20 PFC'!H239</f>
        <v>0</v>
      </c>
      <c r="J231" s="2097">
        <f>'Pl 2016-20 PFC'!I239</f>
        <v>47348000</v>
      </c>
      <c r="K231" s="938" t="e">
        <f>'Pl 2016-20 PFC'!#REF!</f>
        <v>#REF!</v>
      </c>
      <c r="L231" s="991">
        <f t="shared" si="9"/>
        <v>269.72769739090808</v>
      </c>
      <c r="M231" s="986"/>
      <c r="N231" s="986"/>
      <c r="O231" s="986"/>
      <c r="P231" s="986"/>
      <c r="Q231" s="986"/>
    </row>
    <row r="232" spans="1:41" ht="18" hidden="1">
      <c r="A232" s="2146" t="s">
        <v>407</v>
      </c>
      <c r="B232" s="2141" t="s">
        <v>408</v>
      </c>
      <c r="C232" s="2148" t="s">
        <v>221</v>
      </c>
      <c r="D232" s="346">
        <f>D239</f>
        <v>1616000</v>
      </c>
      <c r="E232" s="938">
        <f>E239</f>
        <v>1596000</v>
      </c>
      <c r="F232" s="938">
        <f>F239</f>
        <v>1619000</v>
      </c>
      <c r="G232" s="2097">
        <f>G239</f>
        <v>1619000</v>
      </c>
      <c r="H232" s="2097">
        <f t="shared" si="10"/>
        <v>0</v>
      </c>
      <c r="I232" s="2097" t="str">
        <f>I239</f>
        <v>0</v>
      </c>
      <c r="J232" s="2097">
        <f>J239</f>
        <v>1619000</v>
      </c>
      <c r="K232" s="938" t="e">
        <f>K239</f>
        <v>#REF!</v>
      </c>
      <c r="L232" s="991">
        <f t="shared" si="9"/>
        <v>101.44110275689223</v>
      </c>
      <c r="M232" s="986"/>
      <c r="N232" s="986"/>
      <c r="O232" s="986"/>
      <c r="P232" s="986"/>
      <c r="Q232" s="986"/>
    </row>
    <row r="233" spans="1:41" ht="18">
      <c r="A233" s="2146" t="s">
        <v>212</v>
      </c>
      <c r="B233" s="2141" t="s">
        <v>409</v>
      </c>
      <c r="C233" s="2148" t="s">
        <v>81</v>
      </c>
      <c r="D233" s="346">
        <f>SUM(D234:D234)</f>
        <v>29873000</v>
      </c>
      <c r="E233" s="938">
        <f>SUM(E234:E234)</f>
        <v>28908000</v>
      </c>
      <c r="F233" s="938">
        <f>SUM(F234:F234)</f>
        <v>36588726</v>
      </c>
      <c r="G233" s="2097">
        <f>SUM(G234:G234)</f>
        <v>36589000</v>
      </c>
      <c r="H233" s="2097">
        <f t="shared" si="10"/>
        <v>274</v>
      </c>
      <c r="I233" s="2097">
        <f>SUM(I234:I234)</f>
        <v>0</v>
      </c>
      <c r="J233" s="2097">
        <f>SUM(J234:J234)</f>
        <v>36589000</v>
      </c>
      <c r="K233" s="938" t="e">
        <f>SUM(K234:K234)</f>
        <v>#REF!</v>
      </c>
      <c r="L233" s="991">
        <f t="shared" ref="L233:L291" si="12">G233/E233%</f>
        <v>126.570499515705</v>
      </c>
      <c r="M233" s="986"/>
      <c r="N233" s="986"/>
      <c r="O233" s="1003" t="e">
        <f>G72+G347-G373</f>
        <v>#REF!</v>
      </c>
      <c r="P233" s="986"/>
      <c r="Q233" s="986"/>
    </row>
    <row r="234" spans="1:41" ht="18" hidden="1">
      <c r="A234" s="2146"/>
      <c r="B234" s="2141" t="s">
        <v>145</v>
      </c>
      <c r="C234" s="2148" t="s">
        <v>81</v>
      </c>
      <c r="D234" s="346">
        <f>'Pl 2016-20 PFC'!D252</f>
        <v>29873000</v>
      </c>
      <c r="E234" s="938">
        <f>'Pl 2016-20 PFC'!E252</f>
        <v>28908000</v>
      </c>
      <c r="F234" s="938">
        <f>'Pl 2016-20 PFC'!F252</f>
        <v>36588726</v>
      </c>
      <c r="G234" s="2097">
        <f>'Pl 2016-20 PFC'!G252</f>
        <v>36589000</v>
      </c>
      <c r="H234" s="2097">
        <f t="shared" si="10"/>
        <v>274</v>
      </c>
      <c r="I234" s="2097">
        <f>'Pl 2016-20 PFC'!H252</f>
        <v>0</v>
      </c>
      <c r="J234" s="2097">
        <f>'Pl 2016-20 PFC'!I252</f>
        <v>36589000</v>
      </c>
      <c r="K234" s="938" t="e">
        <f>'Pl 2016-20 PFC'!#REF!</f>
        <v>#REF!</v>
      </c>
      <c r="L234" s="991">
        <f t="shared" si="12"/>
        <v>126.570499515705</v>
      </c>
      <c r="M234" s="986"/>
      <c r="N234" s="986"/>
      <c r="O234" s="986"/>
      <c r="P234" s="986"/>
      <c r="Q234" s="986"/>
    </row>
    <row r="235" spans="1:41" s="371" customFormat="1" ht="18" hidden="1">
      <c r="A235" s="2146"/>
      <c r="B235" s="2141" t="s">
        <v>410</v>
      </c>
      <c r="C235" s="2148"/>
      <c r="D235" s="346">
        <f>SUM(D236:D236)</f>
        <v>4837000</v>
      </c>
      <c r="E235" s="938">
        <f>SUM(E236:E236)</f>
        <v>5817000</v>
      </c>
      <c r="F235" s="938" t="e">
        <f>SUM(F236:F236)</f>
        <v>#REF!</v>
      </c>
      <c r="G235" s="2097">
        <f>SUM(G236:G236)</f>
        <v>37956000</v>
      </c>
      <c r="H235" s="2097" t="e">
        <f t="shared" si="10"/>
        <v>#REF!</v>
      </c>
      <c r="I235" s="2097">
        <f>SUM(I236:I236)</f>
        <v>0</v>
      </c>
      <c r="J235" s="2097">
        <f>SUM(J236:J236)</f>
        <v>37956000</v>
      </c>
      <c r="K235" s="938" t="e">
        <f>SUM(K236:K236)</f>
        <v>#REF!</v>
      </c>
      <c r="L235" s="991">
        <f t="shared" si="12"/>
        <v>652.50128932439407</v>
      </c>
      <c r="M235" s="1004"/>
      <c r="N235" s="1004"/>
      <c r="O235" s="1004"/>
      <c r="P235" s="1004"/>
      <c r="Q235" s="1004"/>
      <c r="R235" s="369"/>
      <c r="S235" s="369"/>
      <c r="T235" s="369"/>
      <c r="U235" s="369"/>
      <c r="V235" s="369"/>
      <c r="W235" s="369"/>
      <c r="X235" s="369"/>
      <c r="Y235" s="369"/>
      <c r="Z235" s="369"/>
      <c r="AA235" s="369"/>
      <c r="AB235" s="369"/>
      <c r="AC235" s="369"/>
      <c r="AD235" s="369"/>
      <c r="AE235" s="369"/>
      <c r="AF235" s="369"/>
      <c r="AG235" s="369"/>
      <c r="AH235" s="369"/>
      <c r="AI235" s="369"/>
      <c r="AJ235" s="369"/>
      <c r="AK235" s="369"/>
      <c r="AL235" s="369"/>
      <c r="AM235" s="369"/>
      <c r="AN235" s="370"/>
      <c r="AO235" s="370"/>
    </row>
    <row r="236" spans="1:41" s="371" customFormat="1" ht="18" hidden="1">
      <c r="A236" s="2146"/>
      <c r="B236" s="2141" t="s">
        <v>273</v>
      </c>
      <c r="C236" s="2148" t="s">
        <v>81</v>
      </c>
      <c r="D236" s="346">
        <f>SUM(D237:D238)</f>
        <v>4837000</v>
      </c>
      <c r="E236" s="938">
        <f>SUM(E237:E238)</f>
        <v>5817000</v>
      </c>
      <c r="F236" s="938" t="e">
        <f>SUM(F237,F238:F240,F241)</f>
        <v>#REF!</v>
      </c>
      <c r="G236" s="2097">
        <f>SUM(G237,G238:G240,G241)</f>
        <v>37956000</v>
      </c>
      <c r="H236" s="2097" t="e">
        <f t="shared" si="10"/>
        <v>#REF!</v>
      </c>
      <c r="I236" s="2097">
        <f>SUM(I237,I238:I240,I241)</f>
        <v>0</v>
      </c>
      <c r="J236" s="2097">
        <f>SUM(J237,J238:J240,J241)</f>
        <v>37956000</v>
      </c>
      <c r="K236" s="938" t="e">
        <f>SUM(K237,K238:K240,K241)</f>
        <v>#REF!</v>
      </c>
      <c r="L236" s="991">
        <f t="shared" si="12"/>
        <v>652.50128932439407</v>
      </c>
      <c r="M236" s="1004"/>
      <c r="N236" s="1004"/>
      <c r="O236" s="1004"/>
      <c r="P236" s="1004"/>
      <c r="Q236" s="1004"/>
      <c r="R236" s="369"/>
      <c r="S236" s="369"/>
      <c r="T236" s="369"/>
      <c r="U236" s="369"/>
      <c r="V236" s="369"/>
      <c r="W236" s="369"/>
      <c r="X236" s="369"/>
      <c r="Y236" s="369"/>
      <c r="Z236" s="369"/>
      <c r="AA236" s="369"/>
      <c r="AB236" s="369"/>
      <c r="AC236" s="369"/>
      <c r="AD236" s="369"/>
      <c r="AE236" s="369"/>
      <c r="AF236" s="369"/>
      <c r="AG236" s="369"/>
      <c r="AH236" s="369"/>
      <c r="AI236" s="369"/>
      <c r="AJ236" s="369"/>
      <c r="AK236" s="369"/>
      <c r="AL236" s="369"/>
      <c r="AM236" s="369"/>
      <c r="AN236" s="370"/>
      <c r="AO236" s="370"/>
    </row>
    <row r="237" spans="1:41" ht="18" hidden="1">
      <c r="A237" s="2146"/>
      <c r="B237" s="2141" t="s">
        <v>411</v>
      </c>
      <c r="C237" s="2148" t="s">
        <v>218</v>
      </c>
      <c r="D237" s="346">
        <f>IF(('Pl 2016-20 PFC'!D242)=0,"",'Pl 2016-20 PFC'!D242)</f>
        <v>3225000</v>
      </c>
      <c r="E237" s="938">
        <f>IF(('Pl 2016-20 PFC'!E242)=0,"",'Pl 2016-20 PFC'!E242)</f>
        <v>4205000</v>
      </c>
      <c r="F237" s="938">
        <f>IF(('Pl 2016-20 PFC'!F242)=0,"",'Pl 2016-20 PFC'!F242)</f>
        <v>4170000</v>
      </c>
      <c r="G237" s="2097">
        <f>IF(('Pl 2016-20 PFC'!G242)=0,"",'Pl 2016-20 PFC'!G242)</f>
        <v>4189000</v>
      </c>
      <c r="H237" s="2097">
        <f t="shared" si="10"/>
        <v>19000</v>
      </c>
      <c r="I237" s="2097" t="str">
        <f>IF(('Pl 2016-20 PFC'!H242)=0,"",'Pl 2016-20 PFC'!H242)</f>
        <v/>
      </c>
      <c r="J237" s="2097">
        <f>IF(('Pl 2016-20 PFC'!I242)=0,"",'Pl 2016-20 PFC'!I242)</f>
        <v>4189000</v>
      </c>
      <c r="K237" s="938" t="e">
        <f>IF(('Pl 2016-20 PFC'!#REF!)=0,"",'Pl 2016-20 PFC'!#REF!)</f>
        <v>#REF!</v>
      </c>
      <c r="L237" s="991">
        <f t="shared" si="12"/>
        <v>99.619500594530322</v>
      </c>
      <c r="M237" s="986"/>
      <c r="N237" s="986"/>
      <c r="O237" s="986"/>
      <c r="P237" s="986"/>
      <c r="Q237" s="986"/>
    </row>
    <row r="238" spans="1:41" ht="18" hidden="1">
      <c r="A238" s="2146"/>
      <c r="B238" s="2141" t="s">
        <v>412</v>
      </c>
      <c r="C238" s="2148" t="s">
        <v>220</v>
      </c>
      <c r="D238" s="346">
        <f>IF(('Pl 2016-20 PFC'!D243)=0,"",'Pl 2016-20 PFC'!D243)</f>
        <v>1612000</v>
      </c>
      <c r="E238" s="938">
        <f>IF(('Pl 2016-20 PFC'!E243)=0,"",'Pl 2016-20 PFC'!E243)</f>
        <v>1612000</v>
      </c>
      <c r="F238" s="938">
        <f>IF(('Pl 2016-20 PFC'!F243)=0,"",'Pl 2016-20 PFC'!F243)</f>
        <v>1630000</v>
      </c>
      <c r="G238" s="2097">
        <f>IF(('Pl 2016-20 PFC'!G243)=0,"",'Pl 2016-20 PFC'!G243)</f>
        <v>1630000</v>
      </c>
      <c r="H238" s="2097">
        <f t="shared" si="10"/>
        <v>0</v>
      </c>
      <c r="I238" s="2097" t="str">
        <f>IF(('Pl 2016-20 PFC'!H243)=0,"",'Pl 2016-20 PFC'!H243)</f>
        <v/>
      </c>
      <c r="J238" s="2097">
        <f>IF(('Pl 2016-20 PFC'!I243)=0,"",'Pl 2016-20 PFC'!I243)</f>
        <v>1630000</v>
      </c>
      <c r="K238" s="938" t="e">
        <f>IF(('Pl 2016-20 PFC'!#REF!)=0,"",'Pl 2016-20 PFC'!#REF!)</f>
        <v>#REF!</v>
      </c>
      <c r="L238" s="991">
        <f t="shared" si="12"/>
        <v>101.1166253101737</v>
      </c>
      <c r="M238" s="986"/>
      <c r="N238" s="986"/>
      <c r="O238" s="986"/>
      <c r="P238" s="986"/>
      <c r="Q238" s="986"/>
    </row>
    <row r="239" spans="1:41" ht="18" hidden="1">
      <c r="A239" s="2146"/>
      <c r="B239" s="2141" t="s">
        <v>63</v>
      </c>
      <c r="C239" s="2148" t="s">
        <v>221</v>
      </c>
      <c r="D239" s="346">
        <f>IF(('Pl 2016-20 PFC'!D244)=0,"0",'Pl 2016-20 PFC'!D244)</f>
        <v>1616000</v>
      </c>
      <c r="E239" s="938">
        <f>IF(('Pl 2016-20 PFC'!E244)=0,"0",'Pl 2016-20 PFC'!E244)</f>
        <v>1596000</v>
      </c>
      <c r="F239" s="938">
        <f>IF(('Pl 2016-20 PFC'!F244)=0,"0",'Pl 2016-20 PFC'!F244)</f>
        <v>1619000</v>
      </c>
      <c r="G239" s="2097">
        <f>IF(('Pl 2016-20 PFC'!G244)=0,"0",'Pl 2016-20 PFC'!G244)</f>
        <v>1619000</v>
      </c>
      <c r="H239" s="2097">
        <f t="shared" si="10"/>
        <v>0</v>
      </c>
      <c r="I239" s="2097" t="str">
        <f>IF(('Pl 2016-20 PFC'!H244)=0,"0",'Pl 2016-20 PFC'!H244)</f>
        <v>0</v>
      </c>
      <c r="J239" s="2097">
        <f>IF(('Pl 2016-20 PFC'!I244)=0,"0",'Pl 2016-20 PFC'!I244)</f>
        <v>1619000</v>
      </c>
      <c r="K239" s="938" t="e">
        <f>IF(('Pl 2016-20 PFC'!#REF!)=0,"0",'Pl 2016-20 PFC'!#REF!)</f>
        <v>#REF!</v>
      </c>
      <c r="L239" s="991">
        <f t="shared" si="12"/>
        <v>101.44110275689223</v>
      </c>
      <c r="M239" s="986"/>
      <c r="N239" s="986"/>
      <c r="O239" s="986"/>
      <c r="P239" s="986"/>
      <c r="Q239" s="986"/>
    </row>
    <row r="240" spans="1:41" ht="18" hidden="1">
      <c r="A240" s="2146"/>
      <c r="B240" s="2141" t="s">
        <v>413</v>
      </c>
      <c r="C240" s="2148" t="s">
        <v>223</v>
      </c>
      <c r="D240" s="346">
        <f>IF(('Pl 2016-20 PFC'!D245)=0,"",'Pl 2016-20 PFC'!D245)</f>
        <v>856000</v>
      </c>
      <c r="E240" s="938">
        <f>IF(('Pl 2016-20 PFC'!E245)=0,"",'Pl 2016-20 PFC'!E245)</f>
        <v>856000</v>
      </c>
      <c r="F240" s="938">
        <f>IF(('Pl 2016-20 PFC'!F245)=0,"",'Pl 2016-20 PFC'!F245)</f>
        <v>874000</v>
      </c>
      <c r="G240" s="2097">
        <f>IF(('Pl 2016-20 PFC'!G245)=0,"",'Pl 2016-20 PFC'!G245)</f>
        <v>879000</v>
      </c>
      <c r="H240" s="2097">
        <f t="shared" si="10"/>
        <v>5000</v>
      </c>
      <c r="I240" s="2097" t="str">
        <f>IF(('Pl 2016-20 PFC'!H245)=0,"",'Pl 2016-20 PFC'!H245)</f>
        <v/>
      </c>
      <c r="J240" s="2097">
        <f>IF(('Pl 2016-20 PFC'!I245)=0,"",'Pl 2016-20 PFC'!I245)</f>
        <v>879000</v>
      </c>
      <c r="K240" s="938" t="e">
        <f>IF(('Pl 2016-20 PFC'!#REF!)=0,"",'Pl 2016-20 PFC'!#REF!)</f>
        <v>#REF!</v>
      </c>
      <c r="L240" s="991">
        <f t="shared" si="12"/>
        <v>102.68691588785046</v>
      </c>
      <c r="M240" s="986"/>
      <c r="N240" s="986"/>
      <c r="O240" s="986"/>
      <c r="P240" s="986"/>
      <c r="Q240" s="986"/>
    </row>
    <row r="241" spans="1:17" ht="18" hidden="1">
      <c r="A241" s="2146"/>
      <c r="B241" s="2181" t="str">
        <f>'Pl 2016-20 PFC'!B246</f>
        <v>- pozostałe usługi obce</v>
      </c>
      <c r="C241" s="2148" t="s">
        <v>225</v>
      </c>
      <c r="D241" s="346" t="e">
        <f>IF(('Pl 2016-20 PFC'!#REF!)=0,"",'Pl 2016-20 PFC'!#REF!)</f>
        <v>#REF!</v>
      </c>
      <c r="E241" s="938" t="e">
        <f>IF(('Pl 2016-20 PFC'!#REF!)=0,"",'Pl 2016-20 PFC'!#REF!)</f>
        <v>#REF!</v>
      </c>
      <c r="F241" s="938" t="e">
        <f>IF(('Pl 2016-20 PFC'!#REF!)=0,"",'Pl 2016-20 PFC'!#REF!)</f>
        <v>#REF!</v>
      </c>
      <c r="G241" s="2097">
        <f>IF(('Pl 2016-20 PFC'!G246)=0,"",'Pl 2016-20 PFC'!G246)</f>
        <v>29639000</v>
      </c>
      <c r="H241" s="2097" t="str">
        <f>IF(('Pl 2016-20 PFC'!H246)=0,"",'Pl 2016-20 PFC'!H246)</f>
        <v/>
      </c>
      <c r="I241" s="2097" t="str">
        <f>IF(('Pl 2016-20 PFC'!H246)=0,"",'Pl 2016-20 PFC'!H246)</f>
        <v/>
      </c>
      <c r="J241" s="2097">
        <f>IF(('Pl 2016-20 PFC'!I246)=0,"",'Pl 2016-20 PFC'!I246)</f>
        <v>29639000</v>
      </c>
      <c r="K241" s="938" t="e">
        <f>IF(('Pl 2016-20 PFC'!#REF!)=0,"",'Pl 2016-20 PFC'!#REF!)</f>
        <v>#REF!</v>
      </c>
      <c r="L241" s="991" t="e">
        <f t="shared" si="12"/>
        <v>#REF!</v>
      </c>
      <c r="M241" s="986"/>
      <c r="N241" s="986"/>
      <c r="O241" s="986"/>
      <c r="P241" s="986"/>
      <c r="Q241" s="986"/>
    </row>
    <row r="242" spans="1:17" ht="18" hidden="1">
      <c r="A242" s="2185"/>
      <c r="B242" s="2181" t="str">
        <f>'Pl 2016-20 PFC'!B247</f>
        <v>- pozostałe usługi obce ue</v>
      </c>
      <c r="C242" s="2148"/>
      <c r="D242" s="377"/>
      <c r="E242" s="939"/>
      <c r="F242" s="939"/>
      <c r="G242" s="2097">
        <f>IF(('Pl 2016-20 PFC'!G247)=0,"",'Pl 2016-20 PFC'!G247)</f>
        <v>10000</v>
      </c>
      <c r="H242" s="2097" t="str">
        <f>IF(('Pl 2016-20 PFC'!H247)=0,"",'Pl 2016-20 PFC'!H247)</f>
        <v/>
      </c>
      <c r="I242" s="2097" t="str">
        <f>IF(('Pl 2016-20 PFC'!H247)=0,"",'Pl 2016-20 PFC'!H247)</f>
        <v/>
      </c>
      <c r="J242" s="2097">
        <f>IF(('Pl 2016-20 PFC'!I247)=0,"",'Pl 2016-20 PFC'!I247)</f>
        <v>10000</v>
      </c>
      <c r="K242" s="939"/>
      <c r="L242" s="2028"/>
      <c r="M242" s="986"/>
      <c r="N242" s="986"/>
      <c r="O242" s="986"/>
      <c r="P242" s="986"/>
      <c r="Q242" s="986"/>
    </row>
    <row r="243" spans="1:17" ht="18" hidden="1">
      <c r="A243" s="2146"/>
      <c r="B243" s="2141" t="s">
        <v>226</v>
      </c>
      <c r="C243" s="2148" t="s">
        <v>227</v>
      </c>
      <c r="D243" s="346" t="str">
        <f>IF(('Pl 2016-20 PFC'!D248)=0,"",'Pl 2016-20 PFC'!D248)</f>
        <v/>
      </c>
      <c r="E243" s="938" t="str">
        <f>IF(('Pl 2016-20 PFC'!E248)=0,"",'Pl 2016-20 PFC'!E248)</f>
        <v/>
      </c>
      <c r="F243" s="938" t="str">
        <f>IF(('Pl 2016-20 PFC'!F248)=0,"",'Pl 2016-20 PFC'!F248)</f>
        <v/>
      </c>
      <c r="G243" s="2097" t="str">
        <f>IF(('Pl 2016-20 PFC'!G248)=0,"",'Pl 2016-20 PFC'!G248)</f>
        <v/>
      </c>
      <c r="H243" s="2097" t="e">
        <f t="shared" si="10"/>
        <v>#VALUE!</v>
      </c>
      <c r="I243" s="2097" t="str">
        <f>IF(('Pl 2016-20 PFC'!H248)=0,"",'Pl 2016-20 PFC'!H248)</f>
        <v/>
      </c>
      <c r="J243" s="2097" t="str">
        <f>IF(('Pl 2016-20 PFC'!I248)=0,"",'Pl 2016-20 PFC'!I248)</f>
        <v/>
      </c>
      <c r="K243" s="938" t="e">
        <f>IF(('Pl 2016-20 PFC'!#REF!)=0,"",'Pl 2016-20 PFC'!#REF!)</f>
        <v>#REF!</v>
      </c>
      <c r="L243" s="991" t="e">
        <f t="shared" si="12"/>
        <v>#VALUE!</v>
      </c>
      <c r="M243" s="986"/>
      <c r="N243" s="986"/>
      <c r="O243" s="986"/>
      <c r="P243" s="986"/>
      <c r="Q243" s="986"/>
    </row>
    <row r="244" spans="1:17" ht="18" hidden="1">
      <c r="A244" s="2146"/>
      <c r="B244" s="2181" t="str">
        <f>'Pl 2016-20 PFC'!B249</f>
        <v>- opłaty z tytułu zakupu usług telekomunikacyjnych (od 01.01.2015)</v>
      </c>
      <c r="C244" s="2148" t="s">
        <v>229</v>
      </c>
      <c r="D244" s="346">
        <f>IF(('Pl 2016-20 PFC'!D249)=0,"",'Pl 2016-20 PFC'!D249)</f>
        <v>2755000</v>
      </c>
      <c r="E244" s="938">
        <f>IF(('Pl 2016-20 PFC'!E249)=0,"",'Pl 2016-20 PFC'!E249)</f>
        <v>2745000</v>
      </c>
      <c r="F244" s="938">
        <f>IF(('Pl 2016-20 PFC'!F249)=0,"",'Pl 2016-20 PFC'!F249)</f>
        <v>2740000</v>
      </c>
      <c r="G244" s="2097">
        <f>IF(('Pl 2016-20 PFC'!G249)=0,"",'Pl 2016-20 PFC'!G249)</f>
        <v>2740000</v>
      </c>
      <c r="H244" s="2097">
        <f t="shared" si="10"/>
        <v>0</v>
      </c>
      <c r="I244" s="2097" t="str">
        <f>IF(('Pl 2016-20 PFC'!H249)=0,"",'Pl 2016-20 PFC'!H249)</f>
        <v/>
      </c>
      <c r="J244" s="2097">
        <f>IF(('Pl 2016-20 PFC'!I249)=0,"",'Pl 2016-20 PFC'!I249)</f>
        <v>2740000</v>
      </c>
      <c r="K244" s="938" t="e">
        <f>IF(('Pl 2016-20 PFC'!#REF!)=0,"",'Pl 2016-20 PFC'!#REF!)</f>
        <v>#REF!</v>
      </c>
      <c r="L244" s="991">
        <f t="shared" si="12"/>
        <v>99.817850637522767</v>
      </c>
      <c r="M244" s="986"/>
      <c r="N244" s="986"/>
      <c r="O244" s="986"/>
      <c r="P244" s="986"/>
      <c r="Q244" s="986"/>
    </row>
    <row r="245" spans="1:17" ht="18" hidden="1">
      <c r="A245" s="2146"/>
      <c r="B245" s="2141" t="s">
        <v>231</v>
      </c>
      <c r="C245" s="2148" t="s">
        <v>232</v>
      </c>
      <c r="D245" s="346">
        <f>IF(('Pl 2016-20 PFC'!D250)=0,"",'Pl 2016-20 PFC'!D250)</f>
        <v>27000</v>
      </c>
      <c r="E245" s="938">
        <f>IF(('Pl 2016-20 PFC'!E250)=0,"",'Pl 2016-20 PFC'!E250)</f>
        <v>27000</v>
      </c>
      <c r="F245" s="938">
        <f>IF(('Pl 2016-20 PFC'!F250)=0,"",'Pl 2016-20 PFC'!F250)</f>
        <v>27000</v>
      </c>
      <c r="G245" s="2097">
        <f>IF(('Pl 2016-20 PFC'!G250)=0,"",'Pl 2016-20 PFC'!G250)</f>
        <v>27000</v>
      </c>
      <c r="H245" s="2097">
        <f t="shared" si="10"/>
        <v>0</v>
      </c>
      <c r="I245" s="2097" t="str">
        <f>IF(('Pl 2016-20 PFC'!H250)=0,"",'Pl 2016-20 PFC'!H250)</f>
        <v/>
      </c>
      <c r="J245" s="2097">
        <f>IF(('Pl 2016-20 PFC'!I250)=0,"",'Pl 2016-20 PFC'!I250)</f>
        <v>27000</v>
      </c>
      <c r="K245" s="938" t="e">
        <f>IF(('Pl 2016-20 PFC'!#REF!)=0,"",'Pl 2016-20 PFC'!#REF!)</f>
        <v>#REF!</v>
      </c>
      <c r="L245" s="991">
        <f t="shared" si="12"/>
        <v>100</v>
      </c>
      <c r="M245" s="986"/>
      <c r="N245" s="986"/>
      <c r="O245" s="986"/>
      <c r="P245" s="986"/>
      <c r="Q245" s="986"/>
    </row>
    <row r="246" spans="1:17" ht="18" hidden="1">
      <c r="A246" s="2146"/>
      <c r="B246" s="2141" t="s">
        <v>233</v>
      </c>
      <c r="C246" s="2148" t="s">
        <v>234</v>
      </c>
      <c r="D246" s="346">
        <f>IF(('Pl 2016-20 PFC'!D251)=0,"",'Pl 2016-20 PFC'!D251)</f>
        <v>6513000</v>
      </c>
      <c r="E246" s="938">
        <f>IF(('Pl 2016-20 PFC'!E251)=0,"",'Pl 2016-20 PFC'!E251)</f>
        <v>6513000</v>
      </c>
      <c r="F246" s="938">
        <f>IF(('Pl 2016-20 PFC'!F251)=0,"",'Pl 2016-20 PFC'!F251)</f>
        <v>6627000</v>
      </c>
      <c r="G246" s="2097">
        <f>IF(('Pl 2016-20 PFC'!G251)=0,"",'Pl 2016-20 PFC'!G251)</f>
        <v>6615000</v>
      </c>
      <c r="H246" s="2097">
        <f t="shared" si="10"/>
        <v>-12000</v>
      </c>
      <c r="I246" s="2097" t="str">
        <f>IF(('Pl 2016-20 PFC'!H251)=0,"",'Pl 2016-20 PFC'!H251)</f>
        <v/>
      </c>
      <c r="J246" s="2097">
        <f>IF(('Pl 2016-20 PFC'!I251)=0,"",'Pl 2016-20 PFC'!I251)</f>
        <v>6615000</v>
      </c>
      <c r="K246" s="938" t="e">
        <f>IF(('Pl 2016-20 PFC'!#REF!)=0,"",'Pl 2016-20 PFC'!#REF!)</f>
        <v>#REF!</v>
      </c>
      <c r="L246" s="991">
        <f t="shared" si="12"/>
        <v>101.5660985720866</v>
      </c>
      <c r="M246" s="986"/>
      <c r="N246" s="986"/>
      <c r="O246" s="986"/>
      <c r="P246" s="986"/>
      <c r="Q246" s="986"/>
    </row>
    <row r="247" spans="1:17" ht="18" hidden="1">
      <c r="A247" s="2146"/>
      <c r="B247" s="2141" t="s">
        <v>239</v>
      </c>
      <c r="C247" s="2148" t="s">
        <v>240</v>
      </c>
      <c r="D247" s="346">
        <f>IF(('Pl 2016-20 PFC'!D254)=0,"",'Pl 2016-20 PFC'!D254)</f>
        <v>1707000</v>
      </c>
      <c r="E247" s="938">
        <f>IF(('Pl 2016-20 PFC'!E254)=0,"",'Pl 2016-20 PFC'!E254)</f>
        <v>1707000</v>
      </c>
      <c r="F247" s="938">
        <f>IF(('Pl 2016-20 PFC'!F254)=0,"",'Pl 2016-20 PFC'!F254)</f>
        <v>2040000</v>
      </c>
      <c r="G247" s="2097">
        <f>IF(('Pl 2016-20 PFC'!G254)=0,"",'Pl 2016-20 PFC'!G254)</f>
        <v>2040000</v>
      </c>
      <c r="H247" s="2097">
        <f t="shared" si="10"/>
        <v>0</v>
      </c>
      <c r="I247" s="2097" t="str">
        <f>IF(('Pl 2016-20 PFC'!H254)=0,"",'Pl 2016-20 PFC'!H254)</f>
        <v/>
      </c>
      <c r="J247" s="2097">
        <f>IF(('Pl 2016-20 PFC'!I254)=0,"",'Pl 2016-20 PFC'!I254)</f>
        <v>2040000</v>
      </c>
      <c r="K247" s="938" t="e">
        <f>IF(('Pl 2016-20 PFC'!#REF!)=0,"",'Pl 2016-20 PFC'!#REF!)</f>
        <v>#REF!</v>
      </c>
      <c r="L247" s="991">
        <f t="shared" si="12"/>
        <v>119.50790861159929</v>
      </c>
      <c r="M247" s="986"/>
      <c r="N247" s="986"/>
      <c r="O247" s="986"/>
      <c r="P247" s="986"/>
      <c r="Q247" s="986"/>
    </row>
    <row r="248" spans="1:17" ht="18" hidden="1">
      <c r="A248" s="2146"/>
      <c r="B248" s="2141" t="s">
        <v>241</v>
      </c>
      <c r="C248" s="2148" t="s">
        <v>242</v>
      </c>
      <c r="D248" s="346">
        <f>IF(('Pl 2016-20 PFC'!D255)=0,"",'Pl 2016-20 PFC'!D255)</f>
        <v>120000</v>
      </c>
      <c r="E248" s="938">
        <f>IF(('Pl 2016-20 PFC'!E255)=0,"",'Pl 2016-20 PFC'!E255)</f>
        <v>120000</v>
      </c>
      <c r="F248" s="938">
        <f>IF(('Pl 2016-20 PFC'!F255)=0,"",'Pl 2016-20 PFC'!F255)</f>
        <v>120000</v>
      </c>
      <c r="G248" s="2097">
        <f>IF(('Pl 2016-20 PFC'!G255)=0,"",'Pl 2016-20 PFC'!G255)</f>
        <v>120000</v>
      </c>
      <c r="H248" s="2097">
        <f t="shared" si="10"/>
        <v>0</v>
      </c>
      <c r="I248" s="2097" t="str">
        <f>IF(('Pl 2016-20 PFC'!H255)=0,"",'Pl 2016-20 PFC'!H255)</f>
        <v/>
      </c>
      <c r="J248" s="2097">
        <f>IF(('Pl 2016-20 PFC'!I255)=0,"",'Pl 2016-20 PFC'!I255)</f>
        <v>120000</v>
      </c>
      <c r="K248" s="938" t="e">
        <f>IF(('Pl 2016-20 PFC'!#REF!)=0,"",'Pl 2016-20 PFC'!#REF!)</f>
        <v>#REF!</v>
      </c>
      <c r="L248" s="991">
        <f t="shared" si="12"/>
        <v>100</v>
      </c>
      <c r="M248" s="986"/>
      <c r="N248" s="986"/>
      <c r="O248" s="986"/>
      <c r="P248" s="986"/>
      <c r="Q248" s="986"/>
    </row>
    <row r="249" spans="1:17" ht="18" hidden="1">
      <c r="A249" s="2146"/>
      <c r="B249" s="2141" t="s">
        <v>243</v>
      </c>
      <c r="C249" s="2148" t="s">
        <v>244</v>
      </c>
      <c r="D249" s="346">
        <f>IF(('Pl 2016-20 PFC'!D256)=0,"",'Pl 2016-20 PFC'!D256)</f>
        <v>347000</v>
      </c>
      <c r="E249" s="938">
        <f>IF(('Pl 2016-20 PFC'!E256)=0,"",'Pl 2016-20 PFC'!E256)</f>
        <v>347000</v>
      </c>
      <c r="F249" s="938">
        <f>IF(('Pl 2016-20 PFC'!F256)=0,"",'Pl 2016-20 PFC'!F256)</f>
        <v>347000</v>
      </c>
      <c r="G249" s="2097">
        <f>IF(('Pl 2016-20 PFC'!G256)=0,"",'Pl 2016-20 PFC'!G256)</f>
        <v>347000</v>
      </c>
      <c r="H249" s="2097">
        <f t="shared" si="10"/>
        <v>0</v>
      </c>
      <c r="I249" s="2097" t="str">
        <f>IF(('Pl 2016-20 PFC'!H256)=0,"",'Pl 2016-20 PFC'!H256)</f>
        <v/>
      </c>
      <c r="J249" s="2097">
        <f>IF(('Pl 2016-20 PFC'!I256)=0,"",'Pl 2016-20 PFC'!I256)</f>
        <v>347000</v>
      </c>
      <c r="K249" s="938" t="e">
        <f>IF(('Pl 2016-20 PFC'!#REF!)=0,"",'Pl 2016-20 PFC'!#REF!)</f>
        <v>#REF!</v>
      </c>
      <c r="L249" s="991">
        <f t="shared" si="12"/>
        <v>100</v>
      </c>
      <c r="M249" s="986"/>
      <c r="N249" s="986"/>
      <c r="O249" s="986"/>
      <c r="P249" s="986"/>
      <c r="Q249" s="986"/>
    </row>
    <row r="250" spans="1:17" ht="18" hidden="1">
      <c r="A250" s="2146"/>
      <c r="B250" s="2141" t="s">
        <v>245</v>
      </c>
      <c r="C250" s="2148" t="s">
        <v>246</v>
      </c>
      <c r="D250" s="346">
        <f>IF(('Pl 2016-20 PFC'!D257)=0,"",'Pl 2016-20 PFC'!D257)</f>
        <v>1195000</v>
      </c>
      <c r="E250" s="938">
        <f>IF(('Pl 2016-20 PFC'!E257)=0,"",'Pl 2016-20 PFC'!E257)</f>
        <v>1195000</v>
      </c>
      <c r="F250" s="938">
        <f>IF(('Pl 2016-20 PFC'!F257)=0,"",'Pl 2016-20 PFC'!F257)</f>
        <v>1151726</v>
      </c>
      <c r="G250" s="2097">
        <f>IF(('Pl 2016-20 PFC'!G257)=0,"",'Pl 2016-20 PFC'!G257)</f>
        <v>1152000</v>
      </c>
      <c r="H250" s="2097">
        <f t="shared" si="10"/>
        <v>274</v>
      </c>
      <c r="I250" s="2097" t="str">
        <f>IF(('Pl 2016-20 PFC'!H257)=0,"",'Pl 2016-20 PFC'!H257)</f>
        <v/>
      </c>
      <c r="J250" s="2097">
        <f>IF(('Pl 2016-20 PFC'!I257)=0,"",'Pl 2016-20 PFC'!I257)</f>
        <v>1152000</v>
      </c>
      <c r="K250" s="938" t="e">
        <f>IF(('Pl 2016-20 PFC'!#REF!)=0,"",'Pl 2016-20 PFC'!#REF!)</f>
        <v>#REF!</v>
      </c>
      <c r="L250" s="991">
        <f t="shared" si="12"/>
        <v>96.40167364016736</v>
      </c>
      <c r="M250" s="986"/>
      <c r="N250" s="986"/>
      <c r="O250" s="986"/>
      <c r="P250" s="986"/>
      <c r="Q250" s="986"/>
    </row>
    <row r="251" spans="1:17" ht="18" hidden="1">
      <c r="A251" s="2146"/>
      <c r="B251" s="2141" t="s">
        <v>247</v>
      </c>
      <c r="C251" s="2148" t="s">
        <v>248</v>
      </c>
      <c r="D251" s="346">
        <f>IF(('Pl 2016-20 PFC'!D258)=0,"",'Pl 2016-20 PFC'!D258)</f>
        <v>59000</v>
      </c>
      <c r="E251" s="938">
        <f>IF(('Pl 2016-20 PFC'!E258)=0,"",'Pl 2016-20 PFC'!E258)</f>
        <v>59000</v>
      </c>
      <c r="F251" s="938">
        <f>IF(('Pl 2016-20 PFC'!F258)=0,"",'Pl 2016-20 PFC'!F258)</f>
        <v>60000</v>
      </c>
      <c r="G251" s="2097">
        <f>IF(('Pl 2016-20 PFC'!G258)=0,"",'Pl 2016-20 PFC'!G258)</f>
        <v>60000</v>
      </c>
      <c r="H251" s="2097">
        <f t="shared" si="10"/>
        <v>0</v>
      </c>
      <c r="I251" s="2097" t="str">
        <f>IF(('Pl 2016-20 PFC'!H258)=0,"",'Pl 2016-20 PFC'!H258)</f>
        <v/>
      </c>
      <c r="J251" s="2097">
        <f>IF(('Pl 2016-20 PFC'!I258)=0,"",'Pl 2016-20 PFC'!I258)</f>
        <v>60000</v>
      </c>
      <c r="K251" s="938" t="e">
        <f>IF(('Pl 2016-20 PFC'!#REF!)=0,"",'Pl 2016-20 PFC'!#REF!)</f>
        <v>#REF!</v>
      </c>
      <c r="L251" s="991">
        <f t="shared" si="12"/>
        <v>101.69491525423729</v>
      </c>
      <c r="M251" s="986"/>
      <c r="N251" s="986"/>
      <c r="O251" s="986"/>
      <c r="P251" s="986"/>
      <c r="Q251" s="986"/>
    </row>
    <row r="252" spans="1:17" ht="18" hidden="1">
      <c r="A252" s="2146"/>
      <c r="B252" s="2141" t="s">
        <v>414</v>
      </c>
      <c r="C252" s="2148" t="s">
        <v>415</v>
      </c>
      <c r="D252" s="346">
        <f>SUM(D253:D254)</f>
        <v>3000</v>
      </c>
      <c r="E252" s="938">
        <f>SUM(E253:E254)</f>
        <v>3000</v>
      </c>
      <c r="F252" s="938">
        <f>SUM(F253:F254)</f>
        <v>3000</v>
      </c>
      <c r="G252" s="2097">
        <f>SUM(G253:G254)</f>
        <v>3000</v>
      </c>
      <c r="H252" s="2097">
        <f t="shared" si="10"/>
        <v>0</v>
      </c>
      <c r="I252" s="2097">
        <f>SUM(I253:I254)</f>
        <v>0</v>
      </c>
      <c r="J252" s="2097">
        <f>SUM(J253:J254)</f>
        <v>3000</v>
      </c>
      <c r="K252" s="938" t="e">
        <f>SUM(K253:K254)</f>
        <v>#REF!</v>
      </c>
      <c r="L252" s="991">
        <f t="shared" si="12"/>
        <v>100</v>
      </c>
      <c r="M252" s="986"/>
      <c r="N252" s="986"/>
      <c r="O252" s="986"/>
      <c r="P252" s="986"/>
      <c r="Q252" s="986"/>
    </row>
    <row r="253" spans="1:17" ht="18" hidden="1">
      <c r="A253" s="2146"/>
      <c r="B253" s="2141" t="s">
        <v>249</v>
      </c>
      <c r="C253" s="2148" t="s">
        <v>250</v>
      </c>
      <c r="D253" s="346" t="str">
        <f>IF(('Pl 2016-20 PFC'!D259)=0,"",'Pl 2016-20 PFC'!D259)</f>
        <v/>
      </c>
      <c r="E253" s="938" t="str">
        <f>IF(('Pl 2016-20 PFC'!E259)=0,"",'Pl 2016-20 PFC'!E259)</f>
        <v/>
      </c>
      <c r="F253" s="938" t="str">
        <f>IF(('Pl 2016-20 PFC'!F259)=0,"",'Pl 2016-20 PFC'!F259)</f>
        <v/>
      </c>
      <c r="G253" s="2097" t="str">
        <f>IF(('Pl 2016-20 PFC'!G259)=0,"",'Pl 2016-20 PFC'!G259)</f>
        <v/>
      </c>
      <c r="H253" s="2097" t="e">
        <f t="shared" si="10"/>
        <v>#VALUE!</v>
      </c>
      <c r="I253" s="2097" t="str">
        <f>IF(('Pl 2016-20 PFC'!H259)=0,"",'Pl 2016-20 PFC'!H259)</f>
        <v/>
      </c>
      <c r="J253" s="2097" t="str">
        <f>IF(('Pl 2016-20 PFC'!I259)=0,"",'Pl 2016-20 PFC'!I259)</f>
        <v/>
      </c>
      <c r="K253" s="938" t="e">
        <f>IF(('Pl 2016-20 PFC'!#REF!)=0,"",'Pl 2016-20 PFC'!#REF!)</f>
        <v>#REF!</v>
      </c>
      <c r="L253" s="991" t="e">
        <f t="shared" si="12"/>
        <v>#VALUE!</v>
      </c>
      <c r="M253" s="986"/>
      <c r="N253" s="986"/>
      <c r="O253" s="986"/>
      <c r="P253" s="986"/>
      <c r="Q253" s="986"/>
    </row>
    <row r="254" spans="1:17" ht="18" hidden="1">
      <c r="A254" s="2146"/>
      <c r="B254" s="2141" t="s">
        <v>251</v>
      </c>
      <c r="C254" s="2148" t="s">
        <v>252</v>
      </c>
      <c r="D254" s="346">
        <f>IF(('Pl 2016-20 PFC'!D260)=0,"",'Pl 2016-20 PFC'!D260)</f>
        <v>3000</v>
      </c>
      <c r="E254" s="938">
        <f>IF(('Pl 2016-20 PFC'!E260)=0,"",'Pl 2016-20 PFC'!E260)</f>
        <v>3000</v>
      </c>
      <c r="F254" s="938">
        <f>IF(('Pl 2016-20 PFC'!F260)=0,"",'Pl 2016-20 PFC'!F260)</f>
        <v>3000</v>
      </c>
      <c r="G254" s="2097">
        <f>IF(('Pl 2016-20 PFC'!G260)=0,"",'Pl 2016-20 PFC'!G260)</f>
        <v>3000</v>
      </c>
      <c r="H254" s="2097">
        <f t="shared" si="10"/>
        <v>0</v>
      </c>
      <c r="I254" s="2097" t="str">
        <f>IF(('Pl 2016-20 PFC'!H260)=0,"",'Pl 2016-20 PFC'!H260)</f>
        <v/>
      </c>
      <c r="J254" s="2097">
        <f>IF(('Pl 2016-20 PFC'!I260)=0,"",'Pl 2016-20 PFC'!I260)</f>
        <v>3000</v>
      </c>
      <c r="K254" s="938" t="e">
        <f>IF(('Pl 2016-20 PFC'!#REF!)=0,"",'Pl 2016-20 PFC'!#REF!)</f>
        <v>#REF!</v>
      </c>
      <c r="L254" s="991">
        <f t="shared" si="12"/>
        <v>100</v>
      </c>
      <c r="M254" s="986"/>
      <c r="N254" s="986"/>
      <c r="O254" s="986"/>
      <c r="P254" s="986"/>
      <c r="Q254" s="986"/>
    </row>
    <row r="255" spans="1:17" ht="18" hidden="1">
      <c r="A255" s="2146"/>
      <c r="B255" s="2141" t="s">
        <v>253</v>
      </c>
      <c r="C255" s="2148" t="s">
        <v>254</v>
      </c>
      <c r="D255" s="346">
        <f>IF(('Pl 2016-20 PFC'!D261)=0,"",'Pl 2016-20 PFC'!D261)</f>
        <v>44000</v>
      </c>
      <c r="E255" s="938">
        <f>IF(('Pl 2016-20 PFC'!E261)=0,"",'Pl 2016-20 PFC'!E261)</f>
        <v>44000</v>
      </c>
      <c r="F255" s="938">
        <f>IF(('Pl 2016-20 PFC'!F261)=0,"",'Pl 2016-20 PFC'!F261)</f>
        <v>45000</v>
      </c>
      <c r="G255" s="2097">
        <f>IF(('Pl 2016-20 PFC'!G261)=0,"",'Pl 2016-20 PFC'!G261)</f>
        <v>45000</v>
      </c>
      <c r="H255" s="2097">
        <f t="shared" si="10"/>
        <v>0</v>
      </c>
      <c r="I255" s="2097" t="str">
        <f>IF(('Pl 2016-20 PFC'!H261)=0,"",'Pl 2016-20 PFC'!H261)</f>
        <v/>
      </c>
      <c r="J255" s="2097">
        <f>IF(('Pl 2016-20 PFC'!I261)=0,"",'Pl 2016-20 PFC'!I261)</f>
        <v>45000</v>
      </c>
      <c r="K255" s="938" t="e">
        <f>IF(('Pl 2016-20 PFC'!#REF!)=0,"",'Pl 2016-20 PFC'!#REF!)</f>
        <v>#REF!</v>
      </c>
      <c r="L255" s="991">
        <f t="shared" si="12"/>
        <v>102.27272727272727</v>
      </c>
      <c r="M255" s="986"/>
      <c r="N255" s="986"/>
      <c r="O255" s="986"/>
      <c r="P255" s="986"/>
      <c r="Q255" s="986"/>
    </row>
    <row r="256" spans="1:17" ht="18" hidden="1">
      <c r="A256" s="2146"/>
      <c r="B256" s="2141" t="s">
        <v>633</v>
      </c>
      <c r="C256" s="2148" t="s">
        <v>634</v>
      </c>
      <c r="D256" s="346">
        <f>IF(('Pl 2016-20 PFC'!D262)=0,"",'Pl 2016-20 PFC'!D262)</f>
        <v>15000</v>
      </c>
      <c r="E256" s="938">
        <f>IF(('Pl 2016-20 PFC'!E262)=0,"",'Pl 2016-20 PFC'!E262)</f>
        <v>15000</v>
      </c>
      <c r="F256" s="938">
        <f>IF(('Pl 2016-20 PFC'!F262)=0,"",'Pl 2016-20 PFC'!F262)</f>
        <v>13000</v>
      </c>
      <c r="G256" s="2097">
        <f>IF(('Pl 2016-20 PFC'!G262)=0,"",'Pl 2016-20 PFC'!G262)</f>
        <v>13000</v>
      </c>
      <c r="H256" s="2097">
        <f t="shared" si="10"/>
        <v>0</v>
      </c>
      <c r="I256" s="2097" t="str">
        <f>IF(('Pl 2016-20 PFC'!H262)=0,"",'Pl 2016-20 PFC'!H262)</f>
        <v/>
      </c>
      <c r="J256" s="2097">
        <f>IF(('Pl 2016-20 PFC'!I262)=0,"",'Pl 2016-20 PFC'!I262)</f>
        <v>13000</v>
      </c>
      <c r="K256" s="938" t="e">
        <f>IF(('Pl 2016-20 PFC'!#REF!)=0,"",'Pl 2016-20 PFC'!#REF!)</f>
        <v>#REF!</v>
      </c>
      <c r="L256" s="991">
        <f t="shared" si="12"/>
        <v>86.666666666666671</v>
      </c>
      <c r="M256" s="986"/>
      <c r="N256" s="986"/>
      <c r="O256" s="986"/>
      <c r="P256" s="986"/>
      <c r="Q256" s="986"/>
    </row>
    <row r="257" spans="1:41" ht="18" hidden="1">
      <c r="A257" s="2146"/>
      <c r="B257" s="2141" t="s">
        <v>255</v>
      </c>
      <c r="C257" s="2148" t="s">
        <v>256</v>
      </c>
      <c r="D257" s="346">
        <f>IF(('Pl 2016-20 PFC'!D263)=0,"",'Pl 2016-20 PFC'!D263)</f>
        <v>1000</v>
      </c>
      <c r="E257" s="938">
        <f>IF(('Pl 2016-20 PFC'!E263)=0,"",'Pl 2016-20 PFC'!E263)</f>
        <v>1000</v>
      </c>
      <c r="F257" s="938" t="str">
        <f>IF(('Pl 2016-20 PFC'!F263)=0,"",'Pl 2016-20 PFC'!F263)</f>
        <v/>
      </c>
      <c r="G257" s="2097" t="str">
        <f>IF(('Pl 2016-20 PFC'!G263)=0,"",'Pl 2016-20 PFC'!G263)</f>
        <v/>
      </c>
      <c r="H257" s="2097" t="e">
        <f t="shared" si="10"/>
        <v>#VALUE!</v>
      </c>
      <c r="I257" s="2097" t="str">
        <f>IF(('Pl 2016-20 PFC'!H263)=0,"",'Pl 2016-20 PFC'!H263)</f>
        <v/>
      </c>
      <c r="J257" s="2097" t="str">
        <f>IF(('Pl 2016-20 PFC'!I263)=0,"",'Pl 2016-20 PFC'!I263)</f>
        <v/>
      </c>
      <c r="K257" s="938" t="e">
        <f>IF(('Pl 2016-20 PFC'!#REF!)=0,"",'Pl 2016-20 PFC'!#REF!)</f>
        <v>#REF!</v>
      </c>
      <c r="L257" s="991" t="e">
        <f t="shared" si="12"/>
        <v>#VALUE!</v>
      </c>
      <c r="M257" s="986"/>
      <c r="N257" s="986"/>
      <c r="O257" s="986"/>
      <c r="P257" s="986"/>
      <c r="Q257" s="986"/>
    </row>
    <row r="258" spans="1:41" ht="18" hidden="1">
      <c r="A258" s="2146"/>
      <c r="B258" s="2141" t="s">
        <v>126</v>
      </c>
      <c r="C258" s="2148" t="s">
        <v>257</v>
      </c>
      <c r="D258" s="346">
        <f>IF(('Pl 2016-20 PFC'!D264)=0,"",'Pl 2016-20 PFC'!D264)</f>
        <v>542000</v>
      </c>
      <c r="E258" s="938">
        <f>IF(('Pl 2016-20 PFC'!E264)=0,"",'Pl 2016-20 PFC'!E264)</f>
        <v>554000</v>
      </c>
      <c r="F258" s="938">
        <f>IF(('Pl 2016-20 PFC'!F264)=0,"",'Pl 2016-20 PFC'!F264)</f>
        <v>518000</v>
      </c>
      <c r="G258" s="2097">
        <f>IF(('Pl 2016-20 PFC'!G264)=0,"",'Pl 2016-20 PFC'!G264)</f>
        <v>518000</v>
      </c>
      <c r="H258" s="2097">
        <f t="shared" si="10"/>
        <v>0</v>
      </c>
      <c r="I258" s="2097" t="str">
        <f>IF(('Pl 2016-20 PFC'!H264)=0,"",'Pl 2016-20 PFC'!H264)</f>
        <v/>
      </c>
      <c r="J258" s="2097">
        <f>IF(('Pl 2016-20 PFC'!I264)=0,"",'Pl 2016-20 PFC'!I264)</f>
        <v>518000</v>
      </c>
      <c r="K258" s="938" t="e">
        <f>IF(('Pl 2016-20 PFC'!#REF!)=0,"",'Pl 2016-20 PFC'!#REF!)</f>
        <v>#REF!</v>
      </c>
      <c r="L258" s="991">
        <f t="shared" si="12"/>
        <v>93.501805054151617</v>
      </c>
      <c r="M258" s="986"/>
      <c r="N258" s="986"/>
      <c r="O258" s="986"/>
      <c r="P258" s="986"/>
      <c r="Q258" s="986"/>
    </row>
    <row r="259" spans="1:41" ht="18" hidden="1">
      <c r="A259" s="2146"/>
      <c r="B259" s="2141" t="s">
        <v>416</v>
      </c>
      <c r="C259" s="2148" t="s">
        <v>259</v>
      </c>
      <c r="D259" s="346" t="str">
        <f>IF(('Pl 2016-20 PFC'!D265)=0,"",'Pl 2016-20 PFC'!D265)</f>
        <v/>
      </c>
      <c r="E259" s="938" t="str">
        <f>IF(('Pl 2016-20 PFC'!E265)=0,"",'Pl 2016-20 PFC'!E265)</f>
        <v/>
      </c>
      <c r="F259" s="938"/>
      <c r="G259" s="2097"/>
      <c r="H259" s="2097">
        <f t="shared" si="10"/>
        <v>0</v>
      </c>
      <c r="I259" s="2097"/>
      <c r="J259" s="2097"/>
      <c r="K259" s="938"/>
      <c r="L259" s="991" t="e">
        <f t="shared" si="12"/>
        <v>#VALUE!</v>
      </c>
      <c r="M259" s="986"/>
      <c r="N259" s="986"/>
      <c r="O259" s="986"/>
      <c r="P259" s="986"/>
      <c r="Q259" s="986"/>
    </row>
    <row r="260" spans="1:41" ht="18" hidden="1">
      <c r="A260" s="2146"/>
      <c r="B260" s="2141" t="s">
        <v>417</v>
      </c>
      <c r="C260" s="2148" t="s">
        <v>261</v>
      </c>
      <c r="D260" s="346">
        <f>IF(('Pl 2016-20 PFC'!D276)=0,"",'Pl 2016-20 PFC'!D276)</f>
        <v>18900000</v>
      </c>
      <c r="E260" s="938">
        <f>IF(('Pl 2016-20 PFC'!E276)=0,"",'Pl 2016-20 PFC'!E276)</f>
        <v>10550000</v>
      </c>
      <c r="F260" s="938">
        <f>IF(('Pl 2016-20 PFC'!F276)=0,"",'Pl 2016-20 PFC'!F276)</f>
        <v>21900000</v>
      </c>
      <c r="G260" s="2097">
        <f>IF(('Pl 2016-20 PFC'!G276)=0,"",'Pl 2016-20 PFC'!G276)</f>
        <v>21489000</v>
      </c>
      <c r="H260" s="2097">
        <f t="shared" si="10"/>
        <v>-411000</v>
      </c>
      <c r="I260" s="2097" t="str">
        <f>IF(('Pl 2016-20 PFC'!H266)=0,"",'Pl 2016-20 PFC'!H266)</f>
        <v/>
      </c>
      <c r="J260" s="2097">
        <f>IF(('Pl 2016-20 PFC'!I266)=0,"",'Pl 2016-20 PFC'!I266)</f>
        <v>152000</v>
      </c>
      <c r="K260" s="938" t="e">
        <f>IF(('Pl 2016-20 PFC'!#REF!)=0,"",'Pl 2016-20 PFC'!#REF!)</f>
        <v>#REF!</v>
      </c>
      <c r="L260" s="991">
        <f t="shared" si="12"/>
        <v>203.68720379146919</v>
      </c>
      <c r="M260" s="986"/>
      <c r="N260" s="986"/>
      <c r="O260" s="986"/>
      <c r="P260" s="986"/>
      <c r="Q260" s="986"/>
    </row>
    <row r="261" spans="1:41" ht="18" hidden="1">
      <c r="A261" s="2146"/>
      <c r="B261" s="2141" t="s">
        <v>262</v>
      </c>
      <c r="C261" s="2148" t="s">
        <v>263</v>
      </c>
      <c r="D261" s="346">
        <f>IF(('Pl 2016-20 PFC'!D278)=0,"",'Pl 2016-20 PFC'!D278)</f>
        <v>43733000</v>
      </c>
      <c r="E261" s="938">
        <f>IF(('Pl 2016-20 PFC'!E278)=0,"",'Pl 2016-20 PFC'!E278)</f>
        <v>19320000</v>
      </c>
      <c r="F261" s="938">
        <f>IF(('Pl 2016-20 PFC'!F278)=0,"",'Pl 2016-20 PFC'!F278)</f>
        <v>24000000</v>
      </c>
      <c r="G261" s="2097">
        <f>IF(('Pl 2016-20 PFC'!G278)=0,"",'Pl 2016-20 PFC'!G278)</f>
        <v>24000000</v>
      </c>
      <c r="H261" s="2097">
        <f t="shared" si="10"/>
        <v>0</v>
      </c>
      <c r="I261" s="2097" t="str">
        <f>IF(('Pl 2016-20 PFC'!H267)=0,"",'Pl 2016-20 PFC'!H267)</f>
        <v/>
      </c>
      <c r="J261" s="2097">
        <f>IF(('Pl 2016-20 PFC'!I267)=0,"",'Pl 2016-20 PFC'!I267)</f>
        <v>4793000</v>
      </c>
      <c r="K261" s="938" t="e">
        <f>IF(('Pl 2016-20 PFC'!#REF!)=0,"",'Pl 2016-20 PFC'!#REF!)</f>
        <v>#REF!</v>
      </c>
      <c r="L261" s="991">
        <f t="shared" si="12"/>
        <v>124.22360248447205</v>
      </c>
      <c r="M261" s="986"/>
      <c r="N261" s="986"/>
      <c r="O261" s="986"/>
      <c r="P261" s="986"/>
      <c r="Q261" s="986"/>
    </row>
    <row r="262" spans="1:41" ht="18" hidden="1">
      <c r="A262" s="2146"/>
      <c r="B262" s="2186" t="s">
        <v>669</v>
      </c>
      <c r="C262" s="2148" t="s">
        <v>668</v>
      </c>
      <c r="D262" s="346">
        <f>'Pl 2016-20 PFC'!D269</f>
        <v>1305000</v>
      </c>
      <c r="E262" s="938">
        <f>'Pl 2016-20 PFC'!E269</f>
        <v>1305000</v>
      </c>
      <c r="F262" s="938">
        <f>'Pl 2016-20 PFC'!F269</f>
        <v>1903000</v>
      </c>
      <c r="G262" s="2097">
        <f>'Pl 2016-20 PFC'!G269</f>
        <v>1903000</v>
      </c>
      <c r="H262" s="2097">
        <f t="shared" si="10"/>
        <v>0</v>
      </c>
      <c r="I262" s="2097">
        <f>'Pl 2016-20 PFC'!H269</f>
        <v>0</v>
      </c>
      <c r="J262" s="2097">
        <f>'Pl 2016-20 PFC'!I269</f>
        <v>1903000</v>
      </c>
      <c r="K262" s="938" t="e">
        <f>'Pl 2016-20 PFC'!#REF!</f>
        <v>#REF!</v>
      </c>
      <c r="L262" s="991">
        <f t="shared" si="12"/>
        <v>145.82375478927204</v>
      </c>
      <c r="M262" s="986"/>
      <c r="N262" s="986"/>
      <c r="O262" s="986"/>
      <c r="P262" s="986"/>
      <c r="Q262" s="986"/>
    </row>
    <row r="263" spans="1:41" ht="18" hidden="1">
      <c r="A263" s="2146"/>
      <c r="B263" s="2186" t="s">
        <v>671</v>
      </c>
      <c r="C263" s="2148" t="s">
        <v>670</v>
      </c>
      <c r="D263" s="346">
        <f>'Pl 2016-20 PFC'!D268</f>
        <v>2000</v>
      </c>
      <c r="E263" s="938">
        <f>'Pl 2016-20 PFC'!E268</f>
        <v>2000</v>
      </c>
      <c r="F263" s="938">
        <f>'Pl 2016-20 PFC'!F268</f>
        <v>1000</v>
      </c>
      <c r="G263" s="2097">
        <f>'Pl 2016-20 PFC'!G268</f>
        <v>1000</v>
      </c>
      <c r="H263" s="2097">
        <f t="shared" ref="H263:H320" si="13">G263-F263</f>
        <v>0</v>
      </c>
      <c r="I263" s="2097">
        <f>'Pl 2016-20 PFC'!H268</f>
        <v>0</v>
      </c>
      <c r="J263" s="2097">
        <f>'Pl 2016-20 PFC'!I268</f>
        <v>1000</v>
      </c>
      <c r="K263" s="938" t="e">
        <f>'Pl 2016-20 PFC'!#REF!</f>
        <v>#REF!</v>
      </c>
      <c r="L263" s="991">
        <f t="shared" si="12"/>
        <v>50</v>
      </c>
      <c r="M263" s="986"/>
      <c r="N263" s="986"/>
      <c r="O263" s="986"/>
      <c r="P263" s="986"/>
      <c r="Q263" s="986"/>
    </row>
    <row r="264" spans="1:41" ht="18">
      <c r="A264" s="2146" t="s">
        <v>214</v>
      </c>
      <c r="B264" s="2141" t="s">
        <v>418</v>
      </c>
      <c r="C264" s="2148" t="s">
        <v>264</v>
      </c>
      <c r="D264" s="346">
        <f>IF(('Pl 2016-20 PFC'!D270)=0,"0",'Pl 2016-20 PFC'!D270)</f>
        <v>20990000</v>
      </c>
      <c r="E264" s="938">
        <f>IF(('Pl 2016-20 PFC'!E270)=0,"0",'Pl 2016-20 PFC'!E270)</f>
        <v>20025000</v>
      </c>
      <c r="F264" s="938">
        <f>IF(('Pl 2016-20 PFC'!F270)=0,"0",'Pl 2016-20 PFC'!F270)</f>
        <v>25442000</v>
      </c>
      <c r="G264" s="2097">
        <f>IF(('Pl 2016-20 PFC'!G270)=0,"0",'Pl 2016-20 PFC'!G270)</f>
        <v>25442000</v>
      </c>
      <c r="H264" s="2097">
        <f t="shared" si="13"/>
        <v>0</v>
      </c>
      <c r="I264" s="2097" t="str">
        <f>IF(('Pl 2016-20 PFC'!H270)=0,"0",'Pl 2016-20 PFC'!H270)</f>
        <v>0</v>
      </c>
      <c r="J264" s="2097">
        <f>IF(('Pl 2016-20 PFC'!I270)=0,"0",'Pl 2016-20 PFC'!I270)</f>
        <v>25442000</v>
      </c>
      <c r="K264" s="938" t="e">
        <f>IF(('Pl 2016-20 PFC'!#REF!)=0,"0",'Pl 2016-20 PFC'!#REF!)</f>
        <v>#REF!</v>
      </c>
      <c r="L264" s="991">
        <f t="shared" si="12"/>
        <v>127.05118601747816</v>
      </c>
      <c r="M264" s="986"/>
      <c r="N264" s="986"/>
      <c r="O264" s="986"/>
      <c r="P264" s="986"/>
      <c r="Q264" s="986"/>
    </row>
    <row r="265" spans="1:41" ht="18" hidden="1">
      <c r="A265" s="2146"/>
      <c r="B265" s="2141"/>
      <c r="C265" s="2148"/>
      <c r="D265" s="346"/>
      <c r="E265" s="938"/>
      <c r="F265" s="938"/>
      <c r="G265" s="2097"/>
      <c r="H265" s="2097">
        <f t="shared" si="13"/>
        <v>0</v>
      </c>
      <c r="I265" s="2097"/>
      <c r="J265" s="2097"/>
      <c r="K265" s="938"/>
      <c r="L265" s="991" t="e">
        <f t="shared" si="12"/>
        <v>#DIV/0!</v>
      </c>
      <c r="M265" s="986"/>
      <c r="N265" s="986"/>
      <c r="O265" s="986"/>
      <c r="P265" s="986"/>
      <c r="Q265" s="986"/>
    </row>
    <row r="266" spans="1:41" ht="18">
      <c r="A266" s="2146" t="s">
        <v>235</v>
      </c>
      <c r="B266" s="2141" t="s">
        <v>422</v>
      </c>
      <c r="C266" s="2148" t="s">
        <v>238</v>
      </c>
      <c r="D266" s="346">
        <f>'Pl 2016-20 PFC'!D253</f>
        <v>8883000</v>
      </c>
      <c r="E266" s="938">
        <f>'Pl 2016-20 PFC'!E253</f>
        <v>8883000</v>
      </c>
      <c r="F266" s="938">
        <f>'Pl 2016-20 PFC'!F253</f>
        <v>11146726</v>
      </c>
      <c r="G266" s="2097">
        <f>'Pl 2016-20 PFC'!G253</f>
        <v>11147000</v>
      </c>
      <c r="H266" s="2097">
        <f t="shared" si="13"/>
        <v>274</v>
      </c>
      <c r="I266" s="2097">
        <f>'Pl 2016-20 PFC'!H253</f>
        <v>0</v>
      </c>
      <c r="J266" s="2097">
        <f>'Pl 2016-20 PFC'!I253</f>
        <v>11147000</v>
      </c>
      <c r="K266" s="938" t="e">
        <f>'Pl 2016-20 PFC'!#REF!</f>
        <v>#REF!</v>
      </c>
      <c r="L266" s="991">
        <f t="shared" si="12"/>
        <v>125.48688506135315</v>
      </c>
      <c r="M266" s="986"/>
      <c r="N266" s="986"/>
      <c r="O266" s="986"/>
      <c r="P266" s="986"/>
      <c r="Q266" s="986"/>
    </row>
    <row r="267" spans="1:41" s="371" customFormat="1" ht="36">
      <c r="A267" s="2146" t="s">
        <v>265</v>
      </c>
      <c r="B267" s="2174" t="s">
        <v>637</v>
      </c>
      <c r="C267" s="2187" t="s">
        <v>267</v>
      </c>
      <c r="D267" s="343">
        <f>IF(('Pl 2016-20 PFC'!D271)=0,"0",'Pl 2016-20 PFC'!D271)</f>
        <v>195000000</v>
      </c>
      <c r="E267" s="944">
        <f>IF(('Pl 2016-20 PFC'!E271)=0,"0",'Pl 2016-20 PFC'!E271)</f>
        <v>195000000</v>
      </c>
      <c r="F267" s="944">
        <f>IF(('Pl 2016-20 PFC'!F271)=0,"0",'Pl 2016-20 PFC'!F271)</f>
        <v>179999000</v>
      </c>
      <c r="G267" s="2104">
        <f>IF(('Pl 2016-20 PFC'!G271)=0,"0",'Pl 2016-20 PFC'!G271)</f>
        <v>179999000</v>
      </c>
      <c r="H267" s="2097">
        <f t="shared" si="13"/>
        <v>0</v>
      </c>
      <c r="I267" s="2104" t="str">
        <f>IF(('Pl 2016-20 PFC'!H271)=0,"0",'Pl 2016-20 PFC'!H271)</f>
        <v>0</v>
      </c>
      <c r="J267" s="2104">
        <f>IF(('Pl 2016-20 PFC'!I271)=0,"0",'Pl 2016-20 PFC'!I271)</f>
        <v>179999000</v>
      </c>
      <c r="K267" s="944" t="e">
        <f>IF(('Pl 2016-20 PFC'!#REF!)=0,"0",'Pl 2016-20 PFC'!#REF!)</f>
        <v>#REF!</v>
      </c>
      <c r="L267" s="991">
        <f t="shared" si="12"/>
        <v>92.307179487179482</v>
      </c>
      <c r="M267" s="1004"/>
      <c r="N267" s="1004"/>
      <c r="O267" s="1004"/>
      <c r="P267" s="1004"/>
      <c r="Q267" s="1004"/>
      <c r="R267" s="369"/>
      <c r="S267" s="369"/>
      <c r="T267" s="369"/>
      <c r="U267" s="369"/>
      <c r="V267" s="369"/>
      <c r="W267" s="369"/>
      <c r="X267" s="369"/>
      <c r="Y267" s="369"/>
      <c r="Z267" s="369"/>
      <c r="AA267" s="369"/>
      <c r="AB267" s="369"/>
      <c r="AC267" s="369"/>
      <c r="AD267" s="369"/>
      <c r="AE267" s="369"/>
      <c r="AF267" s="369"/>
      <c r="AG267" s="369"/>
      <c r="AH267" s="369"/>
      <c r="AI267" s="369"/>
      <c r="AJ267" s="369"/>
      <c r="AK267" s="369"/>
      <c r="AL267" s="369"/>
      <c r="AM267" s="369"/>
      <c r="AN267" s="370"/>
      <c r="AO267" s="370"/>
    </row>
    <row r="268" spans="1:41" ht="18" hidden="1">
      <c r="A268" s="2146"/>
      <c r="B268" s="2141"/>
      <c r="C268" s="2148"/>
      <c r="D268" s="346"/>
      <c r="E268" s="938"/>
      <c r="F268" s="938"/>
      <c r="G268" s="2097"/>
      <c r="H268" s="2097">
        <f t="shared" si="13"/>
        <v>0</v>
      </c>
      <c r="I268" s="2097"/>
      <c r="J268" s="2097"/>
      <c r="K268" s="938"/>
      <c r="L268" s="991" t="e">
        <f t="shared" si="12"/>
        <v>#DIV/0!</v>
      </c>
      <c r="M268" s="986"/>
      <c r="N268" s="986"/>
      <c r="O268" s="986"/>
      <c r="P268" s="986"/>
      <c r="Q268" s="986"/>
    </row>
    <row r="269" spans="1:41" ht="18">
      <c r="A269" s="2146">
        <v>5</v>
      </c>
      <c r="B269" s="2141" t="s">
        <v>423</v>
      </c>
      <c r="C269" s="2148" t="s">
        <v>81</v>
      </c>
      <c r="D269" s="346">
        <f>SUM(D270,D275)</f>
        <v>90525000</v>
      </c>
      <c r="E269" s="938">
        <f>SUM(E270,E275)</f>
        <v>56856000</v>
      </c>
      <c r="F269" s="938">
        <f>SUM(F270,F275)</f>
        <v>208000000</v>
      </c>
      <c r="G269" s="2097">
        <f>SUM(G270,G275)</f>
        <v>149889000</v>
      </c>
      <c r="H269" s="2097">
        <f t="shared" si="13"/>
        <v>-58111000</v>
      </c>
      <c r="I269" s="2097">
        <f>SUM(I270,I275)</f>
        <v>0</v>
      </c>
      <c r="J269" s="2097">
        <f>SUM(J270,J275)</f>
        <v>149889000</v>
      </c>
      <c r="K269" s="938" t="e">
        <f>SUM(K270,K275)</f>
        <v>#REF!</v>
      </c>
      <c r="L269" s="991">
        <f t="shared" si="12"/>
        <v>263.629168425496</v>
      </c>
      <c r="M269" s="1003"/>
      <c r="N269" s="986"/>
      <c r="O269" s="986"/>
      <c r="P269" s="986"/>
      <c r="Q269" s="986"/>
    </row>
    <row r="270" spans="1:41" ht="18" hidden="1">
      <c r="A270" s="2146" t="s">
        <v>27</v>
      </c>
      <c r="B270" s="2141" t="s">
        <v>424</v>
      </c>
      <c r="C270" s="2148" t="s">
        <v>425</v>
      </c>
      <c r="D270" s="346">
        <f>SUM(D271:D271)</f>
        <v>62633000</v>
      </c>
      <c r="E270" s="938">
        <f>SUM(E271:E271)</f>
        <v>29870000</v>
      </c>
      <c r="F270" s="938">
        <f>SUM(F271:F271)</f>
        <v>45900000</v>
      </c>
      <c r="G270" s="2097">
        <f>SUM(G271:G271)</f>
        <v>45489000</v>
      </c>
      <c r="H270" s="2097">
        <f t="shared" si="13"/>
        <v>-411000</v>
      </c>
      <c r="I270" s="2097">
        <f>SUM(I271:I271)</f>
        <v>0</v>
      </c>
      <c r="J270" s="2097">
        <f>SUM(J271:J271)</f>
        <v>45489000</v>
      </c>
      <c r="K270" s="938" t="e">
        <f>SUM(K271:K271)</f>
        <v>#REF!</v>
      </c>
      <c r="L270" s="991">
        <f t="shared" si="12"/>
        <v>152.28992299966521</v>
      </c>
      <c r="M270" s="986"/>
      <c r="N270" s="986"/>
      <c r="O270" s="986"/>
      <c r="P270" s="986"/>
      <c r="Q270" s="986"/>
    </row>
    <row r="271" spans="1:41" ht="18" hidden="1">
      <c r="A271" s="2146" t="s">
        <v>93</v>
      </c>
      <c r="B271" s="2141" t="s">
        <v>145</v>
      </c>
      <c r="C271" s="2148" t="s">
        <v>270</v>
      </c>
      <c r="D271" s="346">
        <f>SUM(D272,D274)</f>
        <v>62633000</v>
      </c>
      <c r="E271" s="938">
        <f>SUM(E272,E274)</f>
        <v>29870000</v>
      </c>
      <c r="F271" s="938">
        <f>SUM(F272,F274)</f>
        <v>45900000</v>
      </c>
      <c r="G271" s="2097">
        <f>SUM(G272,G274)</f>
        <v>45489000</v>
      </c>
      <c r="H271" s="2097">
        <f t="shared" si="13"/>
        <v>-411000</v>
      </c>
      <c r="I271" s="2097">
        <f>SUM(I272,I274)</f>
        <v>0</v>
      </c>
      <c r="J271" s="2097">
        <f>SUM(J272,J274)</f>
        <v>45489000</v>
      </c>
      <c r="K271" s="938" t="e">
        <f>SUM(K272,K274)</f>
        <v>#REF!</v>
      </c>
      <c r="L271" s="991">
        <f t="shared" si="12"/>
        <v>152.28992299966521</v>
      </c>
      <c r="M271" s="986"/>
      <c r="N271" s="986"/>
      <c r="O271" s="986"/>
      <c r="P271" s="986"/>
      <c r="Q271" s="986"/>
    </row>
    <row r="272" spans="1:41" ht="18" hidden="1">
      <c r="A272" s="2146"/>
      <c r="B272" s="2141" t="s">
        <v>271</v>
      </c>
      <c r="C272" s="2148">
        <v>6110</v>
      </c>
      <c r="D272" s="346">
        <f>IF(('Pl 2016-20 PFC'!D276)=0,"",'Pl 2016-20 PFC'!D276)</f>
        <v>18900000</v>
      </c>
      <c r="E272" s="938">
        <f>IF(('Pl 2016-20 PFC'!E276)=0,"",'Pl 2016-20 PFC'!E276)</f>
        <v>10550000</v>
      </c>
      <c r="F272" s="938">
        <f>IF(('Pl 2016-20 PFC'!F276)=0,"",'Pl 2016-20 PFC'!F276)</f>
        <v>21900000</v>
      </c>
      <c r="G272" s="2097">
        <f>IF(('Pl 2016-20 PFC'!G276)=0,"",'Pl 2016-20 PFC'!G276)</f>
        <v>21489000</v>
      </c>
      <c r="H272" s="2097">
        <f t="shared" si="13"/>
        <v>-411000</v>
      </c>
      <c r="I272" s="2097" t="str">
        <f>IF(('Pl 2016-20 PFC'!H276)=0,"",'Pl 2016-20 PFC'!H276)</f>
        <v/>
      </c>
      <c r="J272" s="2097">
        <f>IF(('Pl 2016-20 PFC'!I276)=0,"",'Pl 2016-20 PFC'!I276)</f>
        <v>21489000</v>
      </c>
      <c r="K272" s="938" t="e">
        <f>IF(('Pl 2016-20 PFC'!#REF!)=0,"",'Pl 2016-20 PFC'!#REF!)</f>
        <v>#REF!</v>
      </c>
      <c r="L272" s="991">
        <f t="shared" si="12"/>
        <v>203.68720379146919</v>
      </c>
      <c r="M272" s="986"/>
      <c r="N272" s="986"/>
      <c r="O272" s="986"/>
      <c r="P272" s="986"/>
      <c r="Q272" s="986"/>
    </row>
    <row r="273" spans="1:41" ht="18" hidden="1">
      <c r="A273" s="2146"/>
      <c r="B273" s="2141" t="s">
        <v>272</v>
      </c>
      <c r="C273" s="2148" t="s">
        <v>81</v>
      </c>
      <c r="D273" s="346">
        <f>SUM(D274:D274)</f>
        <v>43733000</v>
      </c>
      <c r="E273" s="938">
        <f>SUM(E274:E274)</f>
        <v>19320000</v>
      </c>
      <c r="F273" s="938">
        <f>SUM(F274:F274)</f>
        <v>24000000</v>
      </c>
      <c r="G273" s="2097">
        <f>SUM(G274:G274)</f>
        <v>24000000</v>
      </c>
      <c r="H273" s="2097">
        <f t="shared" si="13"/>
        <v>0</v>
      </c>
      <c r="I273" s="2097">
        <f>SUM(I274:I274)</f>
        <v>0</v>
      </c>
      <c r="J273" s="2097">
        <f>SUM(J274:J274)</f>
        <v>24000000</v>
      </c>
      <c r="K273" s="938" t="e">
        <f>SUM(K274:K274)</f>
        <v>#REF!</v>
      </c>
      <c r="L273" s="991">
        <f t="shared" si="12"/>
        <v>124.22360248447205</v>
      </c>
      <c r="M273" s="986"/>
      <c r="N273" s="986"/>
      <c r="O273" s="986"/>
      <c r="P273" s="986"/>
      <c r="Q273" s="986"/>
    </row>
    <row r="274" spans="1:41" ht="18" hidden="1">
      <c r="A274" s="2146"/>
      <c r="B274" s="2141" t="s">
        <v>273</v>
      </c>
      <c r="C274" s="2148" t="s">
        <v>274</v>
      </c>
      <c r="D274" s="346">
        <f>IF(('Pl 2016-20 PFC'!D278)=0,"",'Pl 2016-20 PFC'!D278)</f>
        <v>43733000</v>
      </c>
      <c r="E274" s="938">
        <f>'Pl 2016-20 PFC'!E277</f>
        <v>19320000</v>
      </c>
      <c r="F274" s="938">
        <f>'Pl 2016-20 PFC'!F277</f>
        <v>24000000</v>
      </c>
      <c r="G274" s="2097">
        <f>'Pl 2016-20 PFC'!G277</f>
        <v>24000000</v>
      </c>
      <c r="H274" s="2097" t="e">
        <f>'Pl 2016-20 PFC'!#REF!</f>
        <v>#REF!</v>
      </c>
      <c r="I274" s="2097">
        <f>'Pl 2016-20 PFC'!H277</f>
        <v>0</v>
      </c>
      <c r="J274" s="2097">
        <f>'Pl 2016-20 PFC'!I277</f>
        <v>24000000</v>
      </c>
      <c r="K274" s="938" t="e">
        <f>'Pl 2016-20 PFC'!#REF!</f>
        <v>#REF!</v>
      </c>
      <c r="L274" s="991">
        <f t="shared" si="12"/>
        <v>124.22360248447205</v>
      </c>
      <c r="M274" s="986"/>
      <c r="N274" s="986"/>
      <c r="O274" s="986"/>
      <c r="P274" s="986"/>
      <c r="Q274" s="986"/>
    </row>
    <row r="275" spans="1:41" s="342" customFormat="1" ht="18">
      <c r="A275" s="2146" t="s">
        <v>27</v>
      </c>
      <c r="B275" s="2141" t="s">
        <v>426</v>
      </c>
      <c r="C275" s="2148" t="s">
        <v>427</v>
      </c>
      <c r="D275" s="346">
        <f t="shared" ref="D275:K275" si="14">SUM(D276,D293)</f>
        <v>27892000</v>
      </c>
      <c r="E275" s="938">
        <f t="shared" si="14"/>
        <v>26986000</v>
      </c>
      <c r="F275" s="938">
        <f t="shared" si="14"/>
        <v>162100000</v>
      </c>
      <c r="G275" s="2097">
        <f t="shared" si="14"/>
        <v>104400000</v>
      </c>
      <c r="H275" s="2097">
        <f t="shared" si="14"/>
        <v>-57700000</v>
      </c>
      <c r="I275" s="2097">
        <f t="shared" si="14"/>
        <v>0</v>
      </c>
      <c r="J275" s="2097">
        <f t="shared" si="14"/>
        <v>104400000</v>
      </c>
      <c r="K275" s="938" t="e">
        <f t="shared" si="14"/>
        <v>#REF!</v>
      </c>
      <c r="L275" s="991">
        <f t="shared" si="12"/>
        <v>386.86726450752241</v>
      </c>
      <c r="M275" s="994"/>
      <c r="N275" s="994"/>
      <c r="O275" s="994"/>
      <c r="P275" s="994"/>
      <c r="Q275" s="994"/>
      <c r="R275" s="339"/>
      <c r="S275" s="339"/>
      <c r="T275" s="339"/>
      <c r="U275" s="339"/>
      <c r="V275" s="339"/>
      <c r="W275" s="339"/>
      <c r="X275" s="339"/>
      <c r="Y275" s="339"/>
      <c r="Z275" s="339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41"/>
      <c r="AO275" s="341"/>
    </row>
    <row r="276" spans="1:41" s="342" customFormat="1" ht="18" hidden="1">
      <c r="A276" s="2146" t="s">
        <v>93</v>
      </c>
      <c r="B276" s="2141" t="s">
        <v>428</v>
      </c>
      <c r="C276" s="2148" t="s">
        <v>278</v>
      </c>
      <c r="D276" s="346">
        <f>SUM(D277:D277)</f>
        <v>23512000</v>
      </c>
      <c r="E276" s="938">
        <f>SUM(E277:E277)</f>
        <v>22606000</v>
      </c>
      <c r="F276" s="938">
        <f>SUM(F277:F277)</f>
        <v>152700000</v>
      </c>
      <c r="G276" s="2097">
        <f>SUM(G277:G277)</f>
        <v>98200000</v>
      </c>
      <c r="H276" s="2097">
        <f t="shared" si="13"/>
        <v>-54500000</v>
      </c>
      <c r="I276" s="2097">
        <f>SUM(I277:I277)</f>
        <v>0</v>
      </c>
      <c r="J276" s="2097">
        <f>SUM(J277:J277)</f>
        <v>98200000</v>
      </c>
      <c r="K276" s="938" t="e">
        <f>SUM(K277:K277)</f>
        <v>#REF!</v>
      </c>
      <c r="L276" s="991">
        <f t="shared" si="12"/>
        <v>434.39794744758029</v>
      </c>
      <c r="M276" s="995"/>
      <c r="N276" s="994"/>
      <c r="O276" s="994"/>
      <c r="P276" s="994"/>
      <c r="Q276" s="994"/>
      <c r="R276" s="339"/>
      <c r="S276" s="339"/>
      <c r="T276" s="339"/>
      <c r="U276" s="339"/>
      <c r="V276" s="339"/>
      <c r="W276" s="339"/>
      <c r="X276" s="339"/>
      <c r="Y276" s="339"/>
      <c r="Z276" s="339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41"/>
      <c r="AO276" s="341"/>
    </row>
    <row r="277" spans="1:41" s="342" customFormat="1" ht="18" hidden="1">
      <c r="A277" s="2146"/>
      <c r="B277" s="2141" t="s">
        <v>273</v>
      </c>
      <c r="C277" s="2148" t="s">
        <v>278</v>
      </c>
      <c r="D277" s="346">
        <f>SUM(D278,D279:D281)</f>
        <v>23512000</v>
      </c>
      <c r="E277" s="938">
        <f>SUM(E278,E279:E281)</f>
        <v>22606000</v>
      </c>
      <c r="F277" s="938">
        <f>SUM(F278,F279:F281)</f>
        <v>152700000</v>
      </c>
      <c r="G277" s="2097">
        <f>SUM(G278,G279:G281)</f>
        <v>98200000</v>
      </c>
      <c r="H277" s="2097">
        <f t="shared" si="13"/>
        <v>-54500000</v>
      </c>
      <c r="I277" s="2097">
        <f>SUM(I278,I279:I281)</f>
        <v>0</v>
      </c>
      <c r="J277" s="2097">
        <f>SUM(J278,J279:J281)</f>
        <v>98200000</v>
      </c>
      <c r="K277" s="938" t="e">
        <f>SUM(K278,K279:K281)</f>
        <v>#REF!</v>
      </c>
      <c r="L277" s="991">
        <f t="shared" si="12"/>
        <v>434.39794744758029</v>
      </c>
      <c r="M277" s="994"/>
      <c r="N277" s="994"/>
      <c r="O277" s="994"/>
      <c r="P277" s="994"/>
      <c r="Q277" s="994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41"/>
      <c r="AO277" s="341"/>
    </row>
    <row r="278" spans="1:41" s="342" customFormat="1" ht="18" hidden="1">
      <c r="A278" s="2146"/>
      <c r="B278" s="2141" t="s">
        <v>429</v>
      </c>
      <c r="C278" s="2148" t="s">
        <v>278</v>
      </c>
      <c r="D278" s="346">
        <f>IF(('Pl 2016-20 PFC'!D283)=0,"0",'Pl 2016-20 PFC'!D283)</f>
        <v>2396000</v>
      </c>
      <c r="E278" s="938">
        <f>IF(('Pl 2016-20 PFC'!E283)=0,"0",'Pl 2016-20 PFC'!E283)</f>
        <v>2396000</v>
      </c>
      <c r="F278" s="938">
        <f>IF(('Pl 2016-20 PFC'!F283)=0,"0",'Pl 2016-20 PFC'!F283)</f>
        <v>68700000</v>
      </c>
      <c r="G278" s="2097">
        <f>IF(('Pl 2016-20 PFC'!G283)=0,"0",'Pl 2016-20 PFC'!G283)</f>
        <v>44200000</v>
      </c>
      <c r="H278" s="2097">
        <f t="shared" si="13"/>
        <v>-24500000</v>
      </c>
      <c r="I278" s="2097" t="str">
        <f>IF(('Pl 2016-20 PFC'!H283)=0,"0",'Pl 2016-20 PFC'!H283)</f>
        <v>0</v>
      </c>
      <c r="J278" s="2097">
        <f>IF(('Pl 2016-20 PFC'!I283)=0,"0",'Pl 2016-20 PFC'!I283)</f>
        <v>44200000</v>
      </c>
      <c r="K278" s="938" t="e">
        <f>IF(('Pl 2016-20 PFC'!#REF!)=0,"0",'Pl 2016-20 PFC'!#REF!)</f>
        <v>#REF!</v>
      </c>
      <c r="L278" s="991">
        <f t="shared" si="12"/>
        <v>1844.7412353923205</v>
      </c>
      <c r="M278" s="994"/>
      <c r="N278" s="994"/>
      <c r="O278" s="994"/>
      <c r="P278" s="994"/>
      <c r="Q278" s="994"/>
      <c r="R278" s="339"/>
      <c r="S278" s="339"/>
      <c r="T278" s="339"/>
      <c r="U278" s="339"/>
      <c r="V278" s="339"/>
      <c r="W278" s="339"/>
      <c r="X278" s="339"/>
      <c r="Y278" s="339"/>
      <c r="Z278" s="339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41"/>
      <c r="AO278" s="341"/>
    </row>
    <row r="279" spans="1:41" s="342" customFormat="1" ht="18" hidden="1">
      <c r="A279" s="2146"/>
      <c r="B279" s="2141" t="s">
        <v>430</v>
      </c>
      <c r="C279" s="2148" t="s">
        <v>278</v>
      </c>
      <c r="D279" s="346" t="str">
        <f>IF(('Pl 2016-20 PFC'!D285)=0,"",'Pl 2016-20 PFC'!D285)</f>
        <v/>
      </c>
      <c r="E279" s="938" t="str">
        <f>IF(('Pl 2016-20 PFC'!E285)=0,"",'Pl 2016-20 PFC'!E285)</f>
        <v/>
      </c>
      <c r="F279" s="938" t="str">
        <f>IF(('Pl 2016-20 PFC'!F285)=0,"",'Pl 2016-20 PFC'!F285)</f>
        <v/>
      </c>
      <c r="G279" s="2097" t="str">
        <f>IF(('Pl 2016-20 PFC'!G285)=0,"",'Pl 2016-20 PFC'!G285)</f>
        <v/>
      </c>
      <c r="H279" s="2097" t="e">
        <f t="shared" si="13"/>
        <v>#VALUE!</v>
      </c>
      <c r="I279" s="2097" t="str">
        <f>IF(('Pl 2016-20 PFC'!H285)=0,"",'Pl 2016-20 PFC'!H285)</f>
        <v/>
      </c>
      <c r="J279" s="2097" t="str">
        <f>IF(('Pl 2016-20 PFC'!I285)=0,"",'Pl 2016-20 PFC'!I285)</f>
        <v/>
      </c>
      <c r="K279" s="938" t="e">
        <f>IF(('Pl 2016-20 PFC'!#REF!)=0,"",'Pl 2016-20 PFC'!#REF!)</f>
        <v>#REF!</v>
      </c>
      <c r="L279" s="991" t="e">
        <f t="shared" si="12"/>
        <v>#VALUE!</v>
      </c>
      <c r="M279" s="994"/>
      <c r="N279" s="994"/>
      <c r="O279" s="994"/>
      <c r="P279" s="994"/>
      <c r="Q279" s="994"/>
      <c r="R279" s="339"/>
      <c r="S279" s="339"/>
      <c r="T279" s="339"/>
      <c r="U279" s="339"/>
      <c r="V279" s="339"/>
      <c r="W279" s="339"/>
      <c r="X279" s="339"/>
      <c r="Y279" s="339"/>
      <c r="Z279" s="339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41"/>
      <c r="AO279" s="341"/>
    </row>
    <row r="280" spans="1:41" s="342" customFormat="1" ht="18" hidden="1">
      <c r="A280" s="2146"/>
      <c r="B280" s="2141" t="s">
        <v>384</v>
      </c>
      <c r="C280" s="2148" t="s">
        <v>278</v>
      </c>
      <c r="D280" s="346">
        <f>'Pl 2016-20 PFC'!D284</f>
        <v>1106000</v>
      </c>
      <c r="E280" s="938">
        <f>'Pl 2016-20 PFC'!E284</f>
        <v>200000</v>
      </c>
      <c r="F280" s="938">
        <f>'Pl 2016-20 PFC'!F284</f>
        <v>1000000</v>
      </c>
      <c r="G280" s="2097">
        <f>'Pl 2016-20 PFC'!G284</f>
        <v>1000000</v>
      </c>
      <c r="H280" s="2097">
        <f t="shared" si="13"/>
        <v>0</v>
      </c>
      <c r="I280" s="2097">
        <f>'Pl 2016-20 PFC'!H284</f>
        <v>0</v>
      </c>
      <c r="J280" s="2097">
        <f>'Pl 2016-20 PFC'!I284</f>
        <v>1000000</v>
      </c>
      <c r="K280" s="938" t="e">
        <f>'Pl 2016-20 PFC'!#REF!</f>
        <v>#REF!</v>
      </c>
      <c r="L280" s="991">
        <f t="shared" si="12"/>
        <v>500</v>
      </c>
      <c r="M280" s="994"/>
      <c r="N280" s="994"/>
      <c r="O280" s="994"/>
      <c r="P280" s="994"/>
      <c r="Q280" s="994"/>
      <c r="R280" s="339"/>
      <c r="S280" s="339"/>
      <c r="T280" s="339"/>
      <c r="U280" s="339"/>
      <c r="V280" s="339"/>
      <c r="W280" s="339"/>
      <c r="X280" s="339"/>
      <c r="Y280" s="339"/>
      <c r="Z280" s="339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41"/>
      <c r="AO280" s="341"/>
    </row>
    <row r="281" spans="1:41" s="342" customFormat="1" ht="18" hidden="1">
      <c r="A281" s="2146"/>
      <c r="B281" s="2141" t="s">
        <v>431</v>
      </c>
      <c r="C281" s="2148" t="s">
        <v>278</v>
      </c>
      <c r="D281" s="346">
        <f>SUM(D282:D291)</f>
        <v>20010000</v>
      </c>
      <c r="E281" s="938">
        <f>SUM(E282:E291)</f>
        <v>20010000</v>
      </c>
      <c r="F281" s="938">
        <f>SUM(F282:F291)</f>
        <v>83000000</v>
      </c>
      <c r="G281" s="2097">
        <f>SUM(G282:G291)</f>
        <v>53000000</v>
      </c>
      <c r="H281" s="2097">
        <f t="shared" si="13"/>
        <v>-30000000</v>
      </c>
      <c r="I281" s="2097">
        <f>SUM(I282:I291)</f>
        <v>0</v>
      </c>
      <c r="J281" s="2097">
        <f>SUM(J282:J291)</f>
        <v>53000000</v>
      </c>
      <c r="K281" s="938" t="e">
        <f>SUM(K282:K291)</f>
        <v>#REF!</v>
      </c>
      <c r="L281" s="991">
        <f t="shared" si="12"/>
        <v>264.86756621689153</v>
      </c>
      <c r="M281" s="994"/>
      <c r="N281" s="994"/>
      <c r="O281" s="994"/>
      <c r="P281" s="994"/>
      <c r="Q281" s="994"/>
      <c r="R281" s="339"/>
      <c r="S281" s="339"/>
      <c r="T281" s="339"/>
      <c r="U281" s="339"/>
      <c r="V281" s="339"/>
      <c r="W281" s="339"/>
      <c r="X281" s="339"/>
      <c r="Y281" s="339"/>
      <c r="Z281" s="339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41"/>
      <c r="AO281" s="341"/>
    </row>
    <row r="282" spans="1:41" s="342" customFormat="1" ht="18" hidden="1">
      <c r="A282" s="2146"/>
      <c r="B282" s="2141" t="s">
        <v>155</v>
      </c>
      <c r="C282" s="2148" t="s">
        <v>278</v>
      </c>
      <c r="D282" s="346">
        <f>'Pl 2016-20 PFC'!D287</f>
        <v>0</v>
      </c>
      <c r="E282" s="938">
        <f>'Pl 2016-20 PFC'!E287</f>
        <v>0</v>
      </c>
      <c r="F282" s="938">
        <f>'Pl 2016-20 PFC'!F287</f>
        <v>0</v>
      </c>
      <c r="G282" s="2097">
        <f>'Pl 2016-20 PFC'!G287</f>
        <v>0</v>
      </c>
      <c r="H282" s="2097">
        <f t="shared" si="13"/>
        <v>0</v>
      </c>
      <c r="I282" s="2097">
        <f>'Pl 2016-20 PFC'!H287</f>
        <v>0</v>
      </c>
      <c r="J282" s="2097">
        <f>'Pl 2016-20 PFC'!I287</f>
        <v>0</v>
      </c>
      <c r="K282" s="938" t="e">
        <f>'Pl 2016-20 PFC'!#REF!</f>
        <v>#REF!</v>
      </c>
      <c r="L282" s="991" t="e">
        <f t="shared" si="12"/>
        <v>#DIV/0!</v>
      </c>
      <c r="M282" s="994"/>
      <c r="N282" s="994"/>
      <c r="O282" s="994"/>
      <c r="P282" s="994"/>
      <c r="Q282" s="994"/>
      <c r="R282" s="339"/>
      <c r="S282" s="339"/>
      <c r="T282" s="339"/>
      <c r="U282" s="339"/>
      <c r="V282" s="339"/>
      <c r="W282" s="339"/>
      <c r="X282" s="339"/>
      <c r="Y282" s="339"/>
      <c r="Z282" s="339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41"/>
      <c r="AO282" s="341"/>
    </row>
    <row r="283" spans="1:41" s="342" customFormat="1" ht="18" hidden="1">
      <c r="A283" s="2146"/>
      <c r="B283" s="2141" t="s">
        <v>279</v>
      </c>
      <c r="C283" s="2148" t="s">
        <v>278</v>
      </c>
      <c r="D283" s="346">
        <f>'Pl 2016-20 PFC'!D288</f>
        <v>0</v>
      </c>
      <c r="E283" s="938">
        <f>'Pl 2016-20 PFC'!E288</f>
        <v>0</v>
      </c>
      <c r="F283" s="938">
        <f>'Pl 2016-20 PFC'!F288</f>
        <v>0</v>
      </c>
      <c r="G283" s="2097">
        <f>'Pl 2016-20 PFC'!G288</f>
        <v>0</v>
      </c>
      <c r="H283" s="2097">
        <f t="shared" si="13"/>
        <v>0</v>
      </c>
      <c r="I283" s="2097">
        <f>'Pl 2016-20 PFC'!H288</f>
        <v>0</v>
      </c>
      <c r="J283" s="2097">
        <f>'Pl 2016-20 PFC'!I288</f>
        <v>0</v>
      </c>
      <c r="K283" s="938" t="e">
        <f>'Pl 2016-20 PFC'!#REF!</f>
        <v>#REF!</v>
      </c>
      <c r="L283" s="991" t="e">
        <f t="shared" si="12"/>
        <v>#DIV/0!</v>
      </c>
      <c r="M283" s="994"/>
      <c r="N283" s="994"/>
      <c r="O283" s="994"/>
      <c r="P283" s="994"/>
      <c r="Q283" s="994"/>
      <c r="R283" s="339"/>
      <c r="S283" s="339"/>
      <c r="T283" s="339"/>
      <c r="U283" s="339"/>
      <c r="V283" s="339"/>
      <c r="W283" s="339"/>
      <c r="X283" s="339"/>
      <c r="Y283" s="339"/>
      <c r="Z283" s="339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41"/>
      <c r="AO283" s="341"/>
    </row>
    <row r="284" spans="1:41" s="342" customFormat="1" ht="18" hidden="1">
      <c r="A284" s="2146"/>
      <c r="B284" s="2141" t="s">
        <v>376</v>
      </c>
      <c r="C284" s="2148" t="s">
        <v>278</v>
      </c>
      <c r="D284" s="346">
        <f>'Pl 2016-20 PFC'!D289</f>
        <v>0</v>
      </c>
      <c r="E284" s="938">
        <f>'Pl 2016-20 PFC'!E289</f>
        <v>0</v>
      </c>
      <c r="F284" s="938">
        <f>'Pl 2016-20 PFC'!F289</f>
        <v>0</v>
      </c>
      <c r="G284" s="2097">
        <f>'Pl 2016-20 PFC'!G289</f>
        <v>0</v>
      </c>
      <c r="H284" s="2097">
        <f t="shared" si="13"/>
        <v>0</v>
      </c>
      <c r="I284" s="2097">
        <f>'Pl 2016-20 PFC'!H289</f>
        <v>0</v>
      </c>
      <c r="J284" s="2097">
        <f>'Pl 2016-20 PFC'!I289</f>
        <v>0</v>
      </c>
      <c r="K284" s="938" t="e">
        <f>'Pl 2016-20 PFC'!#REF!</f>
        <v>#REF!</v>
      </c>
      <c r="L284" s="991" t="e">
        <f t="shared" si="12"/>
        <v>#DIV/0!</v>
      </c>
      <c r="M284" s="994"/>
      <c r="N284" s="994"/>
      <c r="O284" s="994"/>
      <c r="P284" s="994"/>
      <c r="Q284" s="994"/>
      <c r="R284" s="339"/>
      <c r="S284" s="339"/>
      <c r="T284" s="339"/>
      <c r="U284" s="339"/>
      <c r="V284" s="339"/>
      <c r="W284" s="339"/>
      <c r="X284" s="339"/>
      <c r="Y284" s="339"/>
      <c r="Z284" s="339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41"/>
      <c r="AO284" s="341"/>
    </row>
    <row r="285" spans="1:41" s="342" customFormat="1" ht="18" hidden="1">
      <c r="A285" s="2146"/>
      <c r="B285" s="2141" t="s">
        <v>157</v>
      </c>
      <c r="C285" s="2148" t="s">
        <v>278</v>
      </c>
      <c r="D285" s="346">
        <f>'Pl 2016-20 PFC'!D290</f>
        <v>0</v>
      </c>
      <c r="E285" s="938">
        <f>'Pl 2016-20 PFC'!E290</f>
        <v>0</v>
      </c>
      <c r="F285" s="938">
        <f>'Pl 2016-20 PFC'!F290</f>
        <v>0</v>
      </c>
      <c r="G285" s="2097">
        <f>'Pl 2016-20 PFC'!G290</f>
        <v>0</v>
      </c>
      <c r="H285" s="2097">
        <f t="shared" si="13"/>
        <v>0</v>
      </c>
      <c r="I285" s="2097">
        <f>'Pl 2016-20 PFC'!H290</f>
        <v>0</v>
      </c>
      <c r="J285" s="2097">
        <f>'Pl 2016-20 PFC'!I290</f>
        <v>0</v>
      </c>
      <c r="K285" s="938" t="e">
        <f>'Pl 2016-20 PFC'!#REF!</f>
        <v>#REF!</v>
      </c>
      <c r="L285" s="991" t="e">
        <f t="shared" si="12"/>
        <v>#DIV/0!</v>
      </c>
      <c r="M285" s="994"/>
      <c r="N285" s="994"/>
      <c r="O285" s="994"/>
      <c r="P285" s="994"/>
      <c r="Q285" s="994"/>
      <c r="R285" s="339"/>
      <c r="S285" s="339"/>
      <c r="T285" s="339"/>
      <c r="U285" s="339"/>
      <c r="V285" s="339"/>
      <c r="W285" s="339"/>
      <c r="X285" s="339"/>
      <c r="Y285" s="339"/>
      <c r="Z285" s="339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41"/>
      <c r="AO285" s="341"/>
    </row>
    <row r="286" spans="1:41" s="342" customFormat="1" ht="18" hidden="1">
      <c r="A286" s="2146"/>
      <c r="B286" s="2141" t="s">
        <v>158</v>
      </c>
      <c r="C286" s="2148" t="s">
        <v>278</v>
      </c>
      <c r="D286" s="346">
        <f>'Pl 2016-20 PFC'!D291</f>
        <v>0</v>
      </c>
      <c r="E286" s="938">
        <f>'Pl 2016-20 PFC'!E291</f>
        <v>0</v>
      </c>
      <c r="F286" s="938">
        <f>'Pl 2016-20 PFC'!F291</f>
        <v>0</v>
      </c>
      <c r="G286" s="2097">
        <f>'Pl 2016-20 PFC'!G291</f>
        <v>0</v>
      </c>
      <c r="H286" s="2097">
        <f t="shared" si="13"/>
        <v>0</v>
      </c>
      <c r="I286" s="2097">
        <f>'Pl 2016-20 PFC'!H291</f>
        <v>0</v>
      </c>
      <c r="J286" s="2097">
        <f>'Pl 2016-20 PFC'!I291</f>
        <v>0</v>
      </c>
      <c r="K286" s="938" t="e">
        <f>'Pl 2016-20 PFC'!#REF!</f>
        <v>#REF!</v>
      </c>
      <c r="L286" s="991" t="e">
        <f t="shared" si="12"/>
        <v>#DIV/0!</v>
      </c>
      <c r="M286" s="994"/>
      <c r="N286" s="994"/>
      <c r="O286" s="994"/>
      <c r="P286" s="994"/>
      <c r="Q286" s="994"/>
      <c r="R286" s="339"/>
      <c r="S286" s="339"/>
      <c r="T286" s="339"/>
      <c r="U286" s="339"/>
      <c r="V286" s="339"/>
      <c r="W286" s="339"/>
      <c r="X286" s="339"/>
      <c r="Y286" s="339"/>
      <c r="Z286" s="339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41"/>
      <c r="AO286" s="341"/>
    </row>
    <row r="287" spans="1:41" s="342" customFormat="1" ht="18" hidden="1">
      <c r="A287" s="2146"/>
      <c r="B287" s="2141" t="s">
        <v>163</v>
      </c>
      <c r="C287" s="2148" t="s">
        <v>278</v>
      </c>
      <c r="D287" s="346">
        <f>'Pl 2016-20 PFC'!D292</f>
        <v>0</v>
      </c>
      <c r="E287" s="938">
        <f>'Pl 2016-20 PFC'!E292</f>
        <v>0</v>
      </c>
      <c r="F287" s="938">
        <f>'Pl 2016-20 PFC'!F292</f>
        <v>0</v>
      </c>
      <c r="G287" s="2097">
        <f>'Pl 2016-20 PFC'!G292</f>
        <v>0</v>
      </c>
      <c r="H287" s="2097">
        <f t="shared" si="13"/>
        <v>0</v>
      </c>
      <c r="I287" s="2097">
        <f>'Pl 2016-20 PFC'!H292</f>
        <v>0</v>
      </c>
      <c r="J287" s="2097">
        <f>'Pl 2016-20 PFC'!I292</f>
        <v>0</v>
      </c>
      <c r="K287" s="938" t="e">
        <f>'Pl 2016-20 PFC'!#REF!</f>
        <v>#REF!</v>
      </c>
      <c r="L287" s="991" t="e">
        <f t="shared" si="12"/>
        <v>#DIV/0!</v>
      </c>
      <c r="M287" s="994"/>
      <c r="N287" s="994"/>
      <c r="O287" s="994"/>
      <c r="P287" s="994"/>
      <c r="Q287" s="994"/>
      <c r="R287" s="339"/>
      <c r="S287" s="339"/>
      <c r="T287" s="339"/>
      <c r="U287" s="339"/>
      <c r="V287" s="339"/>
      <c r="W287" s="339"/>
      <c r="X287" s="339"/>
      <c r="Y287" s="339"/>
      <c r="Z287" s="339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41"/>
      <c r="AO287" s="341"/>
    </row>
    <row r="288" spans="1:41" s="342" customFormat="1" ht="18" hidden="1">
      <c r="A288" s="2146"/>
      <c r="B288" s="2141" t="s">
        <v>164</v>
      </c>
      <c r="C288" s="2148" t="s">
        <v>278</v>
      </c>
      <c r="D288" s="346">
        <f>'Pl 2016-20 PFC'!D293</f>
        <v>0</v>
      </c>
      <c r="E288" s="938">
        <f>'Pl 2016-20 PFC'!E293</f>
        <v>0</v>
      </c>
      <c r="F288" s="938">
        <f>'Pl 2016-20 PFC'!F293</f>
        <v>0</v>
      </c>
      <c r="G288" s="2097">
        <f>'Pl 2016-20 PFC'!G293</f>
        <v>0</v>
      </c>
      <c r="H288" s="2097">
        <f t="shared" si="13"/>
        <v>0</v>
      </c>
      <c r="I288" s="2097">
        <f>'Pl 2016-20 PFC'!H293</f>
        <v>0</v>
      </c>
      <c r="J288" s="2097">
        <f>'Pl 2016-20 PFC'!I293</f>
        <v>0</v>
      </c>
      <c r="K288" s="938" t="e">
        <f>'Pl 2016-20 PFC'!#REF!</f>
        <v>#REF!</v>
      </c>
      <c r="L288" s="991" t="e">
        <f t="shared" si="12"/>
        <v>#DIV/0!</v>
      </c>
      <c r="M288" s="994"/>
      <c r="N288" s="994"/>
      <c r="O288" s="994"/>
      <c r="P288" s="994"/>
      <c r="Q288" s="994"/>
      <c r="R288" s="339"/>
      <c r="S288" s="339"/>
      <c r="T288" s="339"/>
      <c r="U288" s="339"/>
      <c r="V288" s="339"/>
      <c r="W288" s="339"/>
      <c r="X288" s="339"/>
      <c r="Y288" s="339"/>
      <c r="Z288" s="339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41"/>
      <c r="AO288" s="341"/>
    </row>
    <row r="289" spans="1:41" s="342" customFormat="1" ht="18" hidden="1">
      <c r="A289" s="2146"/>
      <c r="B289" s="2141" t="s">
        <v>167</v>
      </c>
      <c r="C289" s="2148" t="s">
        <v>278</v>
      </c>
      <c r="D289" s="346">
        <f>'Pl 2016-20 PFC'!D294</f>
        <v>3000000</v>
      </c>
      <c r="E289" s="938">
        <f>'Pl 2016-20 PFC'!E294</f>
        <v>3000000</v>
      </c>
      <c r="F289" s="938">
        <f>'Pl 2016-20 PFC'!F294</f>
        <v>3000000</v>
      </c>
      <c r="G289" s="2097">
        <f>'Pl 2016-20 PFC'!G294</f>
        <v>3000000</v>
      </c>
      <c r="H289" s="2097">
        <f t="shared" si="13"/>
        <v>0</v>
      </c>
      <c r="I289" s="2097">
        <f>'Pl 2016-20 PFC'!H294</f>
        <v>0</v>
      </c>
      <c r="J289" s="2097">
        <f>'Pl 2016-20 PFC'!I294</f>
        <v>3000000</v>
      </c>
      <c r="K289" s="938" t="e">
        <f>'Pl 2016-20 PFC'!#REF!</f>
        <v>#REF!</v>
      </c>
      <c r="L289" s="991">
        <f t="shared" si="12"/>
        <v>100</v>
      </c>
      <c r="M289" s="994"/>
      <c r="N289" s="994"/>
      <c r="O289" s="994"/>
      <c r="P289" s="994"/>
      <c r="Q289" s="994"/>
      <c r="R289" s="339"/>
      <c r="S289" s="339"/>
      <c r="T289" s="339"/>
      <c r="U289" s="339"/>
      <c r="V289" s="339"/>
      <c r="W289" s="339"/>
      <c r="X289" s="339"/>
      <c r="Y289" s="339"/>
      <c r="Z289" s="339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41"/>
      <c r="AO289" s="341"/>
    </row>
    <row r="290" spans="1:41" s="342" customFormat="1" ht="18" hidden="1">
      <c r="A290" s="2146"/>
      <c r="B290" s="2141" t="s">
        <v>166</v>
      </c>
      <c r="C290" s="2148"/>
      <c r="D290" s="346">
        <f>'Pl 2016-20 PFC'!D295</f>
        <v>17010000</v>
      </c>
      <c r="E290" s="938">
        <f>'Pl 2016-20 PFC'!E295</f>
        <v>17010000</v>
      </c>
      <c r="F290" s="938">
        <f>'Pl 2016-20 PFC'!F295</f>
        <v>80000000</v>
      </c>
      <c r="G290" s="2097">
        <f>'Pl 2016-20 PFC'!G295</f>
        <v>50000000</v>
      </c>
      <c r="H290" s="2097">
        <f t="shared" si="13"/>
        <v>-30000000</v>
      </c>
      <c r="I290" s="2097">
        <f>'Pl 2016-20 PFC'!H295</f>
        <v>0</v>
      </c>
      <c r="J290" s="2097">
        <f>'Pl 2016-20 PFC'!I295</f>
        <v>50000000</v>
      </c>
      <c r="K290" s="938" t="e">
        <f>'Pl 2016-20 PFC'!#REF!</f>
        <v>#REF!</v>
      </c>
      <c r="L290" s="991">
        <f t="shared" si="12"/>
        <v>293.94473838918282</v>
      </c>
      <c r="M290" s="994"/>
      <c r="N290" s="994"/>
      <c r="O290" s="994"/>
      <c r="P290" s="994"/>
      <c r="Q290" s="994"/>
      <c r="R290" s="339"/>
      <c r="S290" s="339"/>
      <c r="T290" s="339"/>
      <c r="U290" s="339"/>
      <c r="V290" s="339"/>
      <c r="W290" s="339"/>
      <c r="X290" s="339"/>
      <c r="Y290" s="339"/>
      <c r="Z290" s="339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41"/>
      <c r="AO290" s="341"/>
    </row>
    <row r="291" spans="1:41" s="342" customFormat="1" ht="18" hidden="1">
      <c r="A291" s="2146"/>
      <c r="B291" s="2141" t="s">
        <v>181</v>
      </c>
      <c r="C291" s="2148" t="s">
        <v>278</v>
      </c>
      <c r="D291" s="346">
        <f>'Pl 2016-20 PFC'!D296</f>
        <v>0</v>
      </c>
      <c r="E291" s="938">
        <f>'Pl 2016-20 PFC'!E296</f>
        <v>0</v>
      </c>
      <c r="F291" s="938">
        <f>'Pl 2016-20 PFC'!F296</f>
        <v>0</v>
      </c>
      <c r="G291" s="2097">
        <f>'Pl 2016-20 PFC'!G296</f>
        <v>0</v>
      </c>
      <c r="H291" s="2097">
        <f t="shared" si="13"/>
        <v>0</v>
      </c>
      <c r="I291" s="2097">
        <f>'Pl 2016-20 PFC'!H296</f>
        <v>0</v>
      </c>
      <c r="J291" s="2097">
        <f>'Pl 2016-20 PFC'!I296</f>
        <v>0</v>
      </c>
      <c r="K291" s="938" t="e">
        <f>'Pl 2016-20 PFC'!#REF!</f>
        <v>#REF!</v>
      </c>
      <c r="L291" s="991" t="e">
        <f t="shared" si="12"/>
        <v>#DIV/0!</v>
      </c>
      <c r="M291" s="994"/>
      <c r="N291" s="994"/>
      <c r="O291" s="994"/>
      <c r="P291" s="994"/>
      <c r="Q291" s="994"/>
      <c r="R291" s="339"/>
      <c r="S291" s="339"/>
      <c r="T291" s="339"/>
      <c r="U291" s="339"/>
      <c r="V291" s="339"/>
      <c r="W291" s="339"/>
      <c r="X291" s="339"/>
      <c r="Y291" s="339"/>
      <c r="Z291" s="339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41"/>
      <c r="AO291" s="341"/>
    </row>
    <row r="292" spans="1:41" s="342" customFormat="1" ht="18" hidden="1">
      <c r="A292" s="2146"/>
      <c r="B292" s="2141"/>
      <c r="C292" s="2148"/>
      <c r="D292" s="346"/>
      <c r="E292" s="938"/>
      <c r="F292" s="938"/>
      <c r="G292" s="2097"/>
      <c r="H292" s="2097">
        <f t="shared" si="13"/>
        <v>0</v>
      </c>
      <c r="I292" s="2097"/>
      <c r="J292" s="2097"/>
      <c r="K292" s="938"/>
      <c r="L292" s="991" t="e">
        <f t="shared" ref="L292:L341" si="15">G292/E292%</f>
        <v>#DIV/0!</v>
      </c>
      <c r="M292" s="994"/>
      <c r="N292" s="994"/>
      <c r="O292" s="994"/>
      <c r="P292" s="994"/>
      <c r="Q292" s="994"/>
      <c r="R292" s="339"/>
      <c r="S292" s="339"/>
      <c r="T292" s="339"/>
      <c r="U292" s="339"/>
      <c r="V292" s="339"/>
      <c r="W292" s="339"/>
      <c r="X292" s="339"/>
      <c r="Y292" s="339"/>
      <c r="Z292" s="339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41"/>
      <c r="AO292" s="341"/>
    </row>
    <row r="293" spans="1:41" s="342" customFormat="1" ht="18" hidden="1">
      <c r="A293" s="2146" t="s">
        <v>94</v>
      </c>
      <c r="B293" s="2141" t="s">
        <v>432</v>
      </c>
      <c r="C293" s="2148" t="s">
        <v>283</v>
      </c>
      <c r="D293" s="346">
        <f>SUM(D294:D294)</f>
        <v>4380000</v>
      </c>
      <c r="E293" s="938">
        <f>SUM(E294:E294)</f>
        <v>4380000</v>
      </c>
      <c r="F293" s="938">
        <f>SUM(F294:F294)</f>
        <v>9400000</v>
      </c>
      <c r="G293" s="2097">
        <f>SUM(G294:G294)</f>
        <v>6200000</v>
      </c>
      <c r="H293" s="2097">
        <f t="shared" si="13"/>
        <v>-3200000</v>
      </c>
      <c r="I293" s="2097">
        <f>SUM(I294:I294)</f>
        <v>0</v>
      </c>
      <c r="J293" s="2097">
        <f>SUM(J294:J294)</f>
        <v>6200000</v>
      </c>
      <c r="K293" s="938" t="e">
        <f>SUM(K294:K294)</f>
        <v>#REF!</v>
      </c>
      <c r="L293" s="991">
        <f t="shared" si="15"/>
        <v>141.55251141552512</v>
      </c>
      <c r="M293" s="995"/>
      <c r="N293" s="994">
        <f>N313*0.005</f>
        <v>750000000</v>
      </c>
      <c r="O293" s="994" t="e">
        <f>O313*0.005</f>
        <v>#REF!</v>
      </c>
      <c r="P293" s="994"/>
      <c r="Q293" s="994"/>
      <c r="R293" s="339"/>
      <c r="S293" s="339"/>
      <c r="T293" s="339"/>
      <c r="U293" s="339"/>
      <c r="V293" s="339"/>
      <c r="W293" s="339"/>
      <c r="X293" s="339"/>
      <c r="Y293" s="339"/>
      <c r="Z293" s="339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41"/>
      <c r="AO293" s="341"/>
    </row>
    <row r="294" spans="1:41" s="342" customFormat="1" ht="18" hidden="1">
      <c r="A294" s="2146"/>
      <c r="B294" s="2141" t="s">
        <v>273</v>
      </c>
      <c r="C294" s="2148" t="s">
        <v>283</v>
      </c>
      <c r="D294" s="346">
        <f>SUM(D295:D299)</f>
        <v>4380000</v>
      </c>
      <c r="E294" s="938">
        <f>SUM(E295:E299)</f>
        <v>4380000</v>
      </c>
      <c r="F294" s="938">
        <f>SUM(F295:F299)</f>
        <v>9400000</v>
      </c>
      <c r="G294" s="2097">
        <f>SUM(G295:G299)</f>
        <v>6200000</v>
      </c>
      <c r="H294" s="2097">
        <f t="shared" si="13"/>
        <v>-3200000</v>
      </c>
      <c r="I294" s="2097">
        <f>SUM(I295:I299)</f>
        <v>0</v>
      </c>
      <c r="J294" s="2097">
        <f>SUM(J295:J299)</f>
        <v>6200000</v>
      </c>
      <c r="K294" s="938" t="e">
        <f>SUM(K295:K299)</f>
        <v>#REF!</v>
      </c>
      <c r="L294" s="991">
        <f t="shared" si="15"/>
        <v>141.55251141552512</v>
      </c>
      <c r="M294" s="994"/>
      <c r="N294" s="994"/>
      <c r="O294" s="994"/>
      <c r="P294" s="994"/>
      <c r="Q294" s="994"/>
      <c r="R294" s="339"/>
      <c r="S294" s="339"/>
      <c r="T294" s="339"/>
      <c r="U294" s="339"/>
      <c r="V294" s="339"/>
      <c r="W294" s="339"/>
      <c r="X294" s="339"/>
      <c r="Y294" s="339"/>
      <c r="Z294" s="339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41"/>
      <c r="AO294" s="341"/>
    </row>
    <row r="295" spans="1:41" s="342" customFormat="1" ht="18" hidden="1">
      <c r="A295" s="2146"/>
      <c r="B295" s="2141" t="s">
        <v>371</v>
      </c>
      <c r="C295" s="2148" t="s">
        <v>278</v>
      </c>
      <c r="D295" s="346">
        <f>IF(('Pl 2016-20 PFC'!D300)=0,"0",'Pl 2016-20 PFC'!D300)</f>
        <v>680000</v>
      </c>
      <c r="E295" s="938">
        <f>IF(('Pl 2016-20 PFC'!E300)=0,"0",'Pl 2016-20 PFC'!E300)</f>
        <v>680000</v>
      </c>
      <c r="F295" s="938">
        <f>IF(('Pl 2016-20 PFC'!F300)=0,"0",'Pl 2016-20 PFC'!F300)</f>
        <v>2400000</v>
      </c>
      <c r="G295" s="2097">
        <f>IF(('Pl 2016-20 PFC'!G300)=0,"0",'Pl 2016-20 PFC'!G300)</f>
        <v>1400000</v>
      </c>
      <c r="H295" s="2097">
        <f t="shared" si="13"/>
        <v>-1000000</v>
      </c>
      <c r="I295" s="2097" t="str">
        <f>IF(('Pl 2016-20 PFC'!H300)=0,"0",'Pl 2016-20 PFC'!H300)</f>
        <v>0</v>
      </c>
      <c r="J295" s="2097">
        <f>IF(('Pl 2016-20 PFC'!I300)=0,"0",'Pl 2016-20 PFC'!I300)</f>
        <v>1400000</v>
      </c>
      <c r="K295" s="938" t="e">
        <f>IF(('Pl 2016-20 PFC'!#REF!)=0,"0",'Pl 2016-20 PFC'!#REF!)</f>
        <v>#REF!</v>
      </c>
      <c r="L295" s="991">
        <f t="shared" si="15"/>
        <v>205.88235294117646</v>
      </c>
      <c r="M295" s="994"/>
      <c r="N295" s="994"/>
      <c r="O295" s="994"/>
      <c r="P295" s="994"/>
      <c r="Q295" s="994"/>
      <c r="R295" s="339"/>
      <c r="S295" s="339"/>
      <c r="T295" s="339"/>
      <c r="U295" s="339"/>
      <c r="V295" s="339"/>
      <c r="W295" s="339"/>
      <c r="X295" s="339"/>
      <c r="Y295" s="339"/>
      <c r="Z295" s="339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41"/>
      <c r="AO295" s="341"/>
    </row>
    <row r="296" spans="1:41" s="342" customFormat="1" ht="18" hidden="1">
      <c r="A296" s="2146"/>
      <c r="B296" s="2141" t="s">
        <v>430</v>
      </c>
      <c r="C296" s="2148" t="s">
        <v>283</v>
      </c>
      <c r="D296" s="346" t="str">
        <f>IF(('Pl 2016-20 PFC'!D301)=0,"",'Pl 2016-20 PFC'!D301)</f>
        <v/>
      </c>
      <c r="E296" s="938" t="str">
        <f>IF(('Pl 2016-20 PFC'!E301)=0,"",'Pl 2016-20 PFC'!E301)</f>
        <v/>
      </c>
      <c r="F296" s="938" t="str">
        <f>IF(('Pl 2016-20 PFC'!F301)=0,"",'Pl 2016-20 PFC'!F301)</f>
        <v/>
      </c>
      <c r="G296" s="2097" t="str">
        <f>IF(('Pl 2016-20 PFC'!G301)=0,"",'Pl 2016-20 PFC'!G301)</f>
        <v/>
      </c>
      <c r="H296" s="2097" t="e">
        <f t="shared" si="13"/>
        <v>#VALUE!</v>
      </c>
      <c r="I296" s="2097" t="str">
        <f>IF(('Pl 2016-20 PFC'!H301)=0,"",'Pl 2016-20 PFC'!H301)</f>
        <v/>
      </c>
      <c r="J296" s="2097" t="str">
        <f>IF(('Pl 2016-20 PFC'!I301)=0,"",'Pl 2016-20 PFC'!I301)</f>
        <v/>
      </c>
      <c r="K296" s="938" t="e">
        <f>IF(('Pl 2016-20 PFC'!#REF!)=0,"",'Pl 2016-20 PFC'!#REF!)</f>
        <v>#REF!</v>
      </c>
      <c r="L296" s="991" t="e">
        <f t="shared" si="15"/>
        <v>#VALUE!</v>
      </c>
      <c r="M296" s="994"/>
      <c r="N296" s="994"/>
      <c r="O296" s="994"/>
      <c r="P296" s="994"/>
      <c r="Q296" s="994"/>
      <c r="R296" s="339"/>
      <c r="S296" s="339"/>
      <c r="T296" s="339"/>
      <c r="U296" s="339"/>
      <c r="V296" s="339"/>
      <c r="W296" s="339"/>
      <c r="X296" s="339"/>
      <c r="Y296" s="339"/>
      <c r="Z296" s="339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41"/>
      <c r="AO296" s="341"/>
    </row>
    <row r="297" spans="1:41" s="342" customFormat="1" ht="18" hidden="1">
      <c r="A297" s="2146"/>
      <c r="B297" s="2141" t="s">
        <v>433</v>
      </c>
      <c r="C297" s="2148" t="s">
        <v>283</v>
      </c>
      <c r="D297" s="346">
        <f>IF(('Pl 2016-20 PFC'!D302)=0,"",'Pl 2016-20 PFC'!D302)</f>
        <v>2000000</v>
      </c>
      <c r="E297" s="938">
        <f>IF(('Pl 2016-20 PFC'!E302)=0,"",'Pl 2016-20 PFC'!E302)</f>
        <v>2000000</v>
      </c>
      <c r="F297" s="938">
        <f>IF(('Pl 2016-20 PFC'!F302)=0,"",'Pl 2016-20 PFC'!F302)</f>
        <v>5000000</v>
      </c>
      <c r="G297" s="2097">
        <f>IF(('Pl 2016-20 PFC'!G302)=0,"",'Pl 2016-20 PFC'!G302)</f>
        <v>3500000</v>
      </c>
      <c r="H297" s="2097">
        <f t="shared" si="13"/>
        <v>-1500000</v>
      </c>
      <c r="I297" s="2097" t="str">
        <f>IF(('Pl 2016-20 PFC'!H302)=0,"",'Pl 2016-20 PFC'!H302)</f>
        <v/>
      </c>
      <c r="J297" s="2097">
        <f>IF(('Pl 2016-20 PFC'!I302)=0,"",'Pl 2016-20 PFC'!I302)</f>
        <v>3500000</v>
      </c>
      <c r="K297" s="938" t="e">
        <f>IF(('Pl 2016-20 PFC'!#REF!)=0,"",'Pl 2016-20 PFC'!#REF!)</f>
        <v>#REF!</v>
      </c>
      <c r="L297" s="991">
        <f t="shared" si="15"/>
        <v>175</v>
      </c>
      <c r="M297" s="994"/>
      <c r="N297" s="994"/>
      <c r="O297" s="994"/>
      <c r="P297" s="994"/>
      <c r="Q297" s="994"/>
      <c r="R297" s="339"/>
      <c r="S297" s="339"/>
      <c r="T297" s="339"/>
      <c r="U297" s="339"/>
      <c r="V297" s="339"/>
      <c r="W297" s="339"/>
      <c r="X297" s="339"/>
      <c r="Y297" s="339"/>
      <c r="Z297" s="339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41"/>
      <c r="AO297" s="341"/>
    </row>
    <row r="298" spans="1:41" s="342" customFormat="1" ht="18" hidden="1">
      <c r="A298" s="2146"/>
      <c r="B298" s="2141" t="s">
        <v>384</v>
      </c>
      <c r="C298" s="2148" t="s">
        <v>283</v>
      </c>
      <c r="D298" s="346">
        <f>IF(('Pl 2016-20 PFC'!D303)=0,"0",'Pl 2016-20 PFC'!D303)</f>
        <v>1200000</v>
      </c>
      <c r="E298" s="938">
        <f>IF(('Pl 2016-20 PFC'!E303)=0,"0",'Pl 2016-20 PFC'!E303)</f>
        <v>1200000</v>
      </c>
      <c r="F298" s="938">
        <f>IF(('Pl 2016-20 PFC'!F303)=0,"0",'Pl 2016-20 PFC'!F303)</f>
        <v>2000000</v>
      </c>
      <c r="G298" s="2097">
        <f>IF(('Pl 2016-20 PFC'!G303)=0,"0",'Pl 2016-20 PFC'!G303)</f>
        <v>1300000</v>
      </c>
      <c r="H298" s="2097">
        <f t="shared" si="13"/>
        <v>-700000</v>
      </c>
      <c r="I298" s="2097" t="str">
        <f>IF(('Pl 2016-20 PFC'!H303)=0,"0",'Pl 2016-20 PFC'!H303)</f>
        <v>0</v>
      </c>
      <c r="J298" s="2097">
        <f>IF(('Pl 2016-20 PFC'!I303)=0,"0",'Pl 2016-20 PFC'!I303)</f>
        <v>1300000</v>
      </c>
      <c r="K298" s="938" t="e">
        <f>IF(('Pl 2016-20 PFC'!#REF!)=0,"0",'Pl 2016-20 PFC'!#REF!)</f>
        <v>#REF!</v>
      </c>
      <c r="L298" s="991">
        <f t="shared" si="15"/>
        <v>108.33333333333333</v>
      </c>
      <c r="M298" s="994"/>
      <c r="N298" s="994"/>
      <c r="O298" s="994"/>
      <c r="P298" s="994"/>
      <c r="Q298" s="994"/>
      <c r="R298" s="339"/>
      <c r="S298" s="339"/>
      <c r="T298" s="339"/>
      <c r="U298" s="339"/>
      <c r="V298" s="339"/>
      <c r="W298" s="339"/>
      <c r="X298" s="339"/>
      <c r="Y298" s="339"/>
      <c r="Z298" s="339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41"/>
      <c r="AO298" s="341"/>
    </row>
    <row r="299" spans="1:41" s="342" customFormat="1" ht="18" hidden="1">
      <c r="A299" s="2146"/>
      <c r="B299" s="2141" t="s">
        <v>431</v>
      </c>
      <c r="C299" s="2148" t="s">
        <v>283</v>
      </c>
      <c r="D299" s="346">
        <f>SUM(D300:D309)</f>
        <v>500000</v>
      </c>
      <c r="E299" s="938">
        <f>SUM(E300:E309)</f>
        <v>500000</v>
      </c>
      <c r="F299" s="938">
        <f>SUM(F300:F309)</f>
        <v>0</v>
      </c>
      <c r="G299" s="2097">
        <f>SUM(G300:G309)</f>
        <v>0</v>
      </c>
      <c r="H299" s="2097">
        <f t="shared" si="13"/>
        <v>0</v>
      </c>
      <c r="I299" s="2097">
        <f>SUM(I300:I309)</f>
        <v>0</v>
      </c>
      <c r="J299" s="2097">
        <f>SUM(J300:J309)</f>
        <v>0</v>
      </c>
      <c r="K299" s="938" t="e">
        <f>SUM(K300:K309)</f>
        <v>#REF!</v>
      </c>
      <c r="L299" s="991">
        <f t="shared" si="15"/>
        <v>0</v>
      </c>
      <c r="M299" s="994"/>
      <c r="N299" s="994"/>
      <c r="O299" s="994"/>
      <c r="P299" s="994"/>
      <c r="Q299" s="994"/>
      <c r="R299" s="339"/>
      <c r="S299" s="339"/>
      <c r="T299" s="339"/>
      <c r="U299" s="339"/>
      <c r="V299" s="339"/>
      <c r="W299" s="339"/>
      <c r="X299" s="339"/>
      <c r="Y299" s="339"/>
      <c r="Z299" s="339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41"/>
      <c r="AO299" s="341"/>
    </row>
    <row r="300" spans="1:41" s="342" customFormat="1" ht="18" hidden="1">
      <c r="A300" s="2146"/>
      <c r="B300" s="2141" t="s">
        <v>155</v>
      </c>
      <c r="C300" s="2148"/>
      <c r="D300" s="346" t="str">
        <f>IF(('Pl 2016-20 PFC'!D305)=0,"",'Pl 2016-20 PFC'!D305)</f>
        <v/>
      </c>
      <c r="E300" s="938" t="str">
        <f>IF(('Pl 2016-20 PFC'!E305)=0,"",'Pl 2016-20 PFC'!E305)</f>
        <v/>
      </c>
      <c r="F300" s="938" t="str">
        <f>IF(('Pl 2016-20 PFC'!F305)=0,"",'Pl 2016-20 PFC'!F305)</f>
        <v/>
      </c>
      <c r="G300" s="2097" t="str">
        <f>IF(('Pl 2016-20 PFC'!G305)=0,"",'Pl 2016-20 PFC'!G305)</f>
        <v/>
      </c>
      <c r="H300" s="2097" t="e">
        <f t="shared" si="13"/>
        <v>#VALUE!</v>
      </c>
      <c r="I300" s="2097" t="str">
        <f>IF(('Pl 2016-20 PFC'!H305)=0,"",'Pl 2016-20 PFC'!H305)</f>
        <v/>
      </c>
      <c r="J300" s="2097" t="str">
        <f>IF(('Pl 2016-20 PFC'!I305)=0,"",'Pl 2016-20 PFC'!I305)</f>
        <v/>
      </c>
      <c r="K300" s="938" t="e">
        <f>IF(('Pl 2016-20 PFC'!#REF!)=0,"",'Pl 2016-20 PFC'!#REF!)</f>
        <v>#REF!</v>
      </c>
      <c r="L300" s="991" t="e">
        <f t="shared" si="15"/>
        <v>#VALUE!</v>
      </c>
      <c r="M300" s="994"/>
      <c r="N300" s="994"/>
      <c r="O300" s="994"/>
      <c r="P300" s="994"/>
      <c r="Q300" s="994"/>
      <c r="R300" s="339"/>
      <c r="S300" s="339"/>
      <c r="T300" s="339"/>
      <c r="U300" s="339"/>
      <c r="V300" s="339"/>
      <c r="W300" s="339"/>
      <c r="X300" s="339"/>
      <c r="Y300" s="339"/>
      <c r="Z300" s="339"/>
      <c r="AA300" s="339"/>
      <c r="AB300" s="339"/>
      <c r="AC300" s="339"/>
      <c r="AD300" s="339"/>
      <c r="AE300" s="339"/>
      <c r="AF300" s="339"/>
      <c r="AG300" s="339"/>
      <c r="AH300" s="339"/>
      <c r="AI300" s="339"/>
      <c r="AJ300" s="339"/>
      <c r="AK300" s="339"/>
      <c r="AL300" s="339"/>
      <c r="AM300" s="339"/>
      <c r="AN300" s="341"/>
      <c r="AO300" s="341"/>
    </row>
    <row r="301" spans="1:41" s="342" customFormat="1" ht="18" hidden="1">
      <c r="A301" s="2146"/>
      <c r="B301" s="2141" t="s">
        <v>279</v>
      </c>
      <c r="C301" s="2148"/>
      <c r="D301" s="346" t="str">
        <f>IF(('Pl 2016-20 PFC'!D306)=0,"",'Pl 2016-20 PFC'!D306)</f>
        <v/>
      </c>
      <c r="E301" s="938" t="str">
        <f>IF(('Pl 2016-20 PFC'!E306)=0,"",'Pl 2016-20 PFC'!E306)</f>
        <v/>
      </c>
      <c r="F301" s="938" t="str">
        <f>IF(('Pl 2016-20 PFC'!F306)=0,"",'Pl 2016-20 PFC'!F306)</f>
        <v/>
      </c>
      <c r="G301" s="2097" t="str">
        <f>IF(('Pl 2016-20 PFC'!G306)=0,"",'Pl 2016-20 PFC'!G306)</f>
        <v/>
      </c>
      <c r="H301" s="2097" t="e">
        <f t="shared" si="13"/>
        <v>#VALUE!</v>
      </c>
      <c r="I301" s="2097" t="str">
        <f>IF(('Pl 2016-20 PFC'!H306)=0,"",'Pl 2016-20 PFC'!H306)</f>
        <v/>
      </c>
      <c r="J301" s="2097" t="str">
        <f>IF(('Pl 2016-20 PFC'!I306)=0,"",'Pl 2016-20 PFC'!I306)</f>
        <v/>
      </c>
      <c r="K301" s="938" t="e">
        <f>IF(('Pl 2016-20 PFC'!#REF!)=0,"",'Pl 2016-20 PFC'!#REF!)</f>
        <v>#REF!</v>
      </c>
      <c r="L301" s="991" t="e">
        <f t="shared" si="15"/>
        <v>#VALUE!</v>
      </c>
      <c r="M301" s="994"/>
      <c r="N301" s="994"/>
      <c r="O301" s="994"/>
      <c r="P301" s="994"/>
      <c r="Q301" s="994"/>
      <c r="R301" s="339"/>
      <c r="S301" s="339"/>
      <c r="T301" s="339"/>
      <c r="U301" s="339"/>
      <c r="V301" s="339"/>
      <c r="W301" s="339"/>
      <c r="X301" s="339"/>
      <c r="Y301" s="339"/>
      <c r="Z301" s="339"/>
      <c r="AA301" s="339"/>
      <c r="AB301" s="339"/>
      <c r="AC301" s="339"/>
      <c r="AD301" s="339"/>
      <c r="AE301" s="339"/>
      <c r="AF301" s="339"/>
      <c r="AG301" s="339"/>
      <c r="AH301" s="339"/>
      <c r="AI301" s="339"/>
      <c r="AJ301" s="339"/>
      <c r="AK301" s="339"/>
      <c r="AL301" s="339"/>
      <c r="AM301" s="339"/>
      <c r="AN301" s="341"/>
      <c r="AO301" s="341"/>
    </row>
    <row r="302" spans="1:41" s="342" customFormat="1" ht="18" hidden="1">
      <c r="A302" s="2146"/>
      <c r="B302" s="2141" t="s">
        <v>157</v>
      </c>
      <c r="C302" s="2148"/>
      <c r="D302" s="346" t="str">
        <f>IF(('Pl 2016-20 PFC'!D307)=0,"",'Pl 2016-20 PFC'!D307)</f>
        <v/>
      </c>
      <c r="E302" s="938" t="str">
        <f>IF(('Pl 2016-20 PFC'!E307)=0,"",'Pl 2016-20 PFC'!E307)</f>
        <v/>
      </c>
      <c r="F302" s="938" t="str">
        <f>IF(('Pl 2016-20 PFC'!F307)=0,"",'Pl 2016-20 PFC'!F307)</f>
        <v/>
      </c>
      <c r="G302" s="2097" t="str">
        <f>IF(('Pl 2016-20 PFC'!G307)=0,"",'Pl 2016-20 PFC'!G307)</f>
        <v/>
      </c>
      <c r="H302" s="2097" t="e">
        <f t="shared" si="13"/>
        <v>#VALUE!</v>
      </c>
      <c r="I302" s="2097" t="str">
        <f>IF(('Pl 2016-20 PFC'!H307)=0,"",'Pl 2016-20 PFC'!H307)</f>
        <v/>
      </c>
      <c r="J302" s="2097" t="str">
        <f>IF(('Pl 2016-20 PFC'!I307)=0,"",'Pl 2016-20 PFC'!I307)</f>
        <v/>
      </c>
      <c r="K302" s="938" t="e">
        <f>IF(('Pl 2016-20 PFC'!#REF!)=0,"",'Pl 2016-20 PFC'!#REF!)</f>
        <v>#REF!</v>
      </c>
      <c r="L302" s="991" t="e">
        <f t="shared" si="15"/>
        <v>#VALUE!</v>
      </c>
      <c r="M302" s="994"/>
      <c r="N302" s="994"/>
      <c r="O302" s="994"/>
      <c r="P302" s="994"/>
      <c r="Q302" s="994"/>
      <c r="R302" s="339"/>
      <c r="S302" s="339"/>
      <c r="T302" s="339"/>
      <c r="U302" s="339"/>
      <c r="V302" s="339"/>
      <c r="W302" s="339"/>
      <c r="X302" s="339"/>
      <c r="Y302" s="339"/>
      <c r="Z302" s="339"/>
      <c r="AA302" s="339"/>
      <c r="AB302" s="339"/>
      <c r="AC302" s="339"/>
      <c r="AD302" s="339"/>
      <c r="AE302" s="339"/>
      <c r="AF302" s="339"/>
      <c r="AG302" s="339"/>
      <c r="AH302" s="339"/>
      <c r="AI302" s="339"/>
      <c r="AJ302" s="339"/>
      <c r="AK302" s="339"/>
      <c r="AL302" s="339"/>
      <c r="AM302" s="339"/>
      <c r="AN302" s="341"/>
      <c r="AO302" s="341"/>
    </row>
    <row r="303" spans="1:41" s="342" customFormat="1" ht="18" hidden="1">
      <c r="A303" s="2146"/>
      <c r="B303" s="2141" t="s">
        <v>159</v>
      </c>
      <c r="C303" s="2148"/>
      <c r="D303" s="346" t="str">
        <f>IF(('Pl 2016-20 PFC'!D308)=0,"",'Pl 2016-20 PFC'!D308)</f>
        <v/>
      </c>
      <c r="E303" s="938" t="str">
        <f>IF(('Pl 2016-20 PFC'!E308)=0,"",'Pl 2016-20 PFC'!E308)</f>
        <v/>
      </c>
      <c r="F303" s="938" t="str">
        <f>IF(('Pl 2016-20 PFC'!F308)=0,"",'Pl 2016-20 PFC'!F308)</f>
        <v/>
      </c>
      <c r="G303" s="2097" t="str">
        <f>IF(('Pl 2016-20 PFC'!G308)=0,"",'Pl 2016-20 PFC'!G308)</f>
        <v/>
      </c>
      <c r="H303" s="2097" t="e">
        <f t="shared" si="13"/>
        <v>#VALUE!</v>
      </c>
      <c r="I303" s="2097" t="str">
        <f>IF(('Pl 2016-20 PFC'!H308)=0,"",'Pl 2016-20 PFC'!H308)</f>
        <v/>
      </c>
      <c r="J303" s="2097" t="str">
        <f>IF(('Pl 2016-20 PFC'!I308)=0,"",'Pl 2016-20 PFC'!I308)</f>
        <v/>
      </c>
      <c r="K303" s="938" t="e">
        <f>IF(('Pl 2016-20 PFC'!#REF!)=0,"",'Pl 2016-20 PFC'!#REF!)</f>
        <v>#REF!</v>
      </c>
      <c r="L303" s="991" t="e">
        <f t="shared" si="15"/>
        <v>#VALUE!</v>
      </c>
      <c r="M303" s="994"/>
      <c r="N303" s="994"/>
      <c r="O303" s="994"/>
      <c r="P303" s="994"/>
      <c r="Q303" s="994"/>
      <c r="R303" s="339"/>
      <c r="S303" s="339"/>
      <c r="T303" s="339"/>
      <c r="U303" s="339"/>
      <c r="V303" s="339"/>
      <c r="W303" s="339"/>
      <c r="X303" s="339"/>
      <c r="Y303" s="339"/>
      <c r="Z303" s="339"/>
      <c r="AA303" s="339"/>
      <c r="AB303" s="339"/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41"/>
      <c r="AO303" s="341"/>
    </row>
    <row r="304" spans="1:41" s="342" customFormat="1" ht="18" hidden="1">
      <c r="A304" s="2146"/>
      <c r="B304" s="2141" t="s">
        <v>158</v>
      </c>
      <c r="C304" s="2148"/>
      <c r="D304" s="346" t="str">
        <f>IF(('Pl 2016-20 PFC'!D309)=0,"",'Pl 2016-20 PFC'!D309)</f>
        <v/>
      </c>
      <c r="E304" s="938" t="str">
        <f>IF(('Pl 2016-20 PFC'!E309)=0,"",'Pl 2016-20 PFC'!E309)</f>
        <v/>
      </c>
      <c r="F304" s="938" t="str">
        <f>IF(('Pl 2016-20 PFC'!F309)=0,"",'Pl 2016-20 PFC'!F309)</f>
        <v/>
      </c>
      <c r="G304" s="2097" t="str">
        <f>IF(('Pl 2016-20 PFC'!G309)=0,"",'Pl 2016-20 PFC'!G309)</f>
        <v/>
      </c>
      <c r="H304" s="2097" t="e">
        <f t="shared" si="13"/>
        <v>#VALUE!</v>
      </c>
      <c r="I304" s="2097" t="str">
        <f>IF(('Pl 2016-20 PFC'!H309)=0,"",'Pl 2016-20 PFC'!H309)</f>
        <v/>
      </c>
      <c r="J304" s="2097" t="str">
        <f>IF(('Pl 2016-20 PFC'!I309)=0,"",'Pl 2016-20 PFC'!I309)</f>
        <v/>
      </c>
      <c r="K304" s="938" t="e">
        <f>IF(('Pl 2016-20 PFC'!#REF!)=0,"",'Pl 2016-20 PFC'!#REF!)</f>
        <v>#REF!</v>
      </c>
      <c r="L304" s="991" t="e">
        <f t="shared" si="15"/>
        <v>#VALUE!</v>
      </c>
      <c r="M304" s="994"/>
      <c r="N304" s="994"/>
      <c r="O304" s="994"/>
      <c r="P304" s="994"/>
      <c r="Q304" s="994"/>
      <c r="R304" s="339"/>
      <c r="S304" s="339"/>
      <c r="T304" s="339"/>
      <c r="U304" s="339"/>
      <c r="V304" s="339"/>
      <c r="W304" s="339"/>
      <c r="X304" s="339"/>
      <c r="Y304" s="339"/>
      <c r="Z304" s="339"/>
      <c r="AA304" s="339"/>
      <c r="AB304" s="339"/>
      <c r="AC304" s="339"/>
      <c r="AD304" s="339"/>
      <c r="AE304" s="339"/>
      <c r="AF304" s="339"/>
      <c r="AG304" s="339"/>
      <c r="AH304" s="339"/>
      <c r="AI304" s="339"/>
      <c r="AJ304" s="339"/>
      <c r="AK304" s="339"/>
      <c r="AL304" s="339"/>
      <c r="AM304" s="339"/>
      <c r="AN304" s="341"/>
      <c r="AO304" s="341"/>
    </row>
    <row r="305" spans="1:41" s="342" customFormat="1" ht="18" hidden="1">
      <c r="A305" s="2146"/>
      <c r="B305" s="2141" t="s">
        <v>178</v>
      </c>
      <c r="C305" s="2148"/>
      <c r="D305" s="346" t="str">
        <f>IF(('Pl 2016-20 PFC'!D310)=0,"",'Pl 2016-20 PFC'!D310)</f>
        <v/>
      </c>
      <c r="E305" s="938" t="str">
        <f>IF(('Pl 2016-20 PFC'!E310)=0,"",'Pl 2016-20 PFC'!E310)</f>
        <v/>
      </c>
      <c r="F305" s="938" t="str">
        <f>IF(('Pl 2016-20 PFC'!F310)=0,"",'Pl 2016-20 PFC'!F310)</f>
        <v/>
      </c>
      <c r="G305" s="2097" t="str">
        <f>IF(('Pl 2016-20 PFC'!G310)=0,"",'Pl 2016-20 PFC'!G310)</f>
        <v/>
      </c>
      <c r="H305" s="2097" t="e">
        <f t="shared" si="13"/>
        <v>#VALUE!</v>
      </c>
      <c r="I305" s="2097" t="str">
        <f>IF(('Pl 2016-20 PFC'!H310)=0,"",'Pl 2016-20 PFC'!H310)</f>
        <v/>
      </c>
      <c r="J305" s="2097" t="str">
        <f>IF(('Pl 2016-20 PFC'!I310)=0,"",'Pl 2016-20 PFC'!I310)</f>
        <v/>
      </c>
      <c r="K305" s="938" t="e">
        <f>IF(('Pl 2016-20 PFC'!#REF!)=0,"",'Pl 2016-20 PFC'!#REF!)</f>
        <v>#REF!</v>
      </c>
      <c r="L305" s="991" t="e">
        <f t="shared" si="15"/>
        <v>#VALUE!</v>
      </c>
      <c r="M305" s="994"/>
      <c r="N305" s="994"/>
      <c r="O305" s="994"/>
      <c r="P305" s="994"/>
      <c r="Q305" s="994"/>
      <c r="R305" s="339"/>
      <c r="S305" s="339"/>
      <c r="T305" s="339"/>
      <c r="U305" s="339"/>
      <c r="V305" s="339"/>
      <c r="W305" s="339"/>
      <c r="X305" s="339"/>
      <c r="Y305" s="339"/>
      <c r="Z305" s="339"/>
      <c r="AA305" s="339"/>
      <c r="AB305" s="339"/>
      <c r="AC305" s="339"/>
      <c r="AD305" s="339"/>
      <c r="AE305" s="339"/>
      <c r="AF305" s="339"/>
      <c r="AG305" s="339"/>
      <c r="AH305" s="339"/>
      <c r="AI305" s="339"/>
      <c r="AJ305" s="339"/>
      <c r="AK305" s="339"/>
      <c r="AL305" s="339"/>
      <c r="AM305" s="339"/>
      <c r="AN305" s="341"/>
      <c r="AO305" s="341"/>
    </row>
    <row r="306" spans="1:41" s="342" customFormat="1" ht="18" hidden="1">
      <c r="A306" s="2146"/>
      <c r="B306" s="2141" t="s">
        <v>163</v>
      </c>
      <c r="C306" s="2148"/>
      <c r="D306" s="346" t="str">
        <f>IF(('Pl 2016-20 PFC'!D311)=0,"",'Pl 2016-20 PFC'!D311)</f>
        <v/>
      </c>
      <c r="E306" s="938" t="str">
        <f>IF(('Pl 2016-20 PFC'!E311)=0,"",'Pl 2016-20 PFC'!E311)</f>
        <v/>
      </c>
      <c r="F306" s="938" t="str">
        <f>IF(('Pl 2016-20 PFC'!F311)=0,"",'Pl 2016-20 PFC'!F311)</f>
        <v/>
      </c>
      <c r="G306" s="2097" t="str">
        <f>IF(('Pl 2016-20 PFC'!G311)=0,"",'Pl 2016-20 PFC'!G311)</f>
        <v/>
      </c>
      <c r="H306" s="2097" t="e">
        <f t="shared" si="13"/>
        <v>#VALUE!</v>
      </c>
      <c r="I306" s="2097" t="str">
        <f>IF(('Pl 2016-20 PFC'!H311)=0,"",'Pl 2016-20 PFC'!H311)</f>
        <v/>
      </c>
      <c r="J306" s="2097" t="str">
        <f>IF(('Pl 2016-20 PFC'!I311)=0,"",'Pl 2016-20 PFC'!I311)</f>
        <v/>
      </c>
      <c r="K306" s="938" t="e">
        <f>IF(('Pl 2016-20 PFC'!#REF!)=0,"",'Pl 2016-20 PFC'!#REF!)</f>
        <v>#REF!</v>
      </c>
      <c r="L306" s="991" t="e">
        <f t="shared" si="15"/>
        <v>#VALUE!</v>
      </c>
      <c r="M306" s="994"/>
      <c r="N306" s="994"/>
      <c r="O306" s="994"/>
      <c r="P306" s="994"/>
      <c r="Q306" s="994"/>
      <c r="R306" s="339"/>
      <c r="S306" s="339"/>
      <c r="T306" s="339"/>
      <c r="U306" s="339"/>
      <c r="V306" s="339"/>
      <c r="W306" s="339"/>
      <c r="X306" s="339"/>
      <c r="Y306" s="339"/>
      <c r="Z306" s="339"/>
      <c r="AA306" s="339"/>
      <c r="AB306" s="339"/>
      <c r="AC306" s="339"/>
      <c r="AD306" s="339"/>
      <c r="AE306" s="339"/>
      <c r="AF306" s="339"/>
      <c r="AG306" s="339"/>
      <c r="AH306" s="339"/>
      <c r="AI306" s="339"/>
      <c r="AJ306" s="339"/>
      <c r="AK306" s="339"/>
      <c r="AL306" s="339"/>
      <c r="AM306" s="339"/>
      <c r="AN306" s="341"/>
      <c r="AO306" s="341"/>
    </row>
    <row r="307" spans="1:41" s="342" customFormat="1" ht="18" hidden="1">
      <c r="A307" s="2146"/>
      <c r="B307" s="2141" t="s">
        <v>434</v>
      </c>
      <c r="C307" s="2148"/>
      <c r="D307" s="346" t="str">
        <f>IF(('Pl 2016-20 PFC'!D312)=0,"",'Pl 2016-20 PFC'!D312)</f>
        <v/>
      </c>
      <c r="E307" s="938" t="str">
        <f>IF(('Pl 2016-20 PFC'!E312)=0,"",'Pl 2016-20 PFC'!E312)</f>
        <v/>
      </c>
      <c r="F307" s="938" t="str">
        <f>IF(('Pl 2016-20 PFC'!F312)=0,"",'Pl 2016-20 PFC'!F312)</f>
        <v/>
      </c>
      <c r="G307" s="2097" t="str">
        <f>IF(('Pl 2016-20 PFC'!G312)=0,"",'Pl 2016-20 PFC'!G312)</f>
        <v/>
      </c>
      <c r="H307" s="2097" t="e">
        <f t="shared" si="13"/>
        <v>#VALUE!</v>
      </c>
      <c r="I307" s="2097" t="str">
        <f>IF(('Pl 2016-20 PFC'!H312)=0,"",'Pl 2016-20 PFC'!H312)</f>
        <v/>
      </c>
      <c r="J307" s="2097" t="str">
        <f>IF(('Pl 2016-20 PFC'!I312)=0,"",'Pl 2016-20 PFC'!I312)</f>
        <v/>
      </c>
      <c r="K307" s="938" t="e">
        <f>IF(('Pl 2016-20 PFC'!#REF!)=0,"",'Pl 2016-20 PFC'!#REF!)</f>
        <v>#REF!</v>
      </c>
      <c r="L307" s="991" t="e">
        <f t="shared" si="15"/>
        <v>#VALUE!</v>
      </c>
      <c r="M307" s="994"/>
      <c r="N307" s="994"/>
      <c r="O307" s="994"/>
      <c r="P307" s="994"/>
      <c r="Q307" s="994"/>
      <c r="R307" s="339"/>
      <c r="S307" s="339"/>
      <c r="T307" s="339"/>
      <c r="U307" s="339"/>
      <c r="V307" s="339"/>
      <c r="W307" s="339"/>
      <c r="X307" s="339"/>
      <c r="Y307" s="339"/>
      <c r="Z307" s="339"/>
      <c r="AA307" s="339"/>
      <c r="AB307" s="339"/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41"/>
      <c r="AO307" s="341"/>
    </row>
    <row r="308" spans="1:41" s="342" customFormat="1" ht="18" hidden="1">
      <c r="A308" s="2146"/>
      <c r="B308" s="2141" t="s">
        <v>167</v>
      </c>
      <c r="C308" s="2148"/>
      <c r="D308" s="346" t="str">
        <f>IF(('Pl 2016-20 PFC'!D313)=0,"",'Pl 2016-20 PFC'!D313)</f>
        <v/>
      </c>
      <c r="E308" s="938" t="str">
        <f>IF(('Pl 2016-20 PFC'!E313)=0,"",'Pl 2016-20 PFC'!E313)</f>
        <v/>
      </c>
      <c r="F308" s="938" t="str">
        <f>IF(('Pl 2016-20 PFC'!F313)=0,"",'Pl 2016-20 PFC'!F313)</f>
        <v/>
      </c>
      <c r="G308" s="2097" t="str">
        <f>IF(('Pl 2016-20 PFC'!G313)=0,"",'Pl 2016-20 PFC'!G313)</f>
        <v/>
      </c>
      <c r="H308" s="2097" t="e">
        <f t="shared" si="13"/>
        <v>#VALUE!</v>
      </c>
      <c r="I308" s="2097" t="str">
        <f>IF(('Pl 2016-20 PFC'!H313)=0,"",'Pl 2016-20 PFC'!H313)</f>
        <v/>
      </c>
      <c r="J308" s="2097" t="str">
        <f>IF(('Pl 2016-20 PFC'!I313)=0,"",'Pl 2016-20 PFC'!I313)</f>
        <v/>
      </c>
      <c r="K308" s="938" t="e">
        <f>IF(('Pl 2016-20 PFC'!#REF!)=0,"",'Pl 2016-20 PFC'!#REF!)</f>
        <v>#REF!</v>
      </c>
      <c r="L308" s="991" t="e">
        <f t="shared" si="15"/>
        <v>#VALUE!</v>
      </c>
      <c r="M308" s="994"/>
      <c r="N308" s="994"/>
      <c r="O308" s="994"/>
      <c r="P308" s="994"/>
      <c r="Q308" s="994"/>
      <c r="R308" s="339"/>
      <c r="S308" s="339"/>
      <c r="T308" s="339"/>
      <c r="U308" s="339"/>
      <c r="V308" s="339"/>
      <c r="W308" s="339"/>
      <c r="X308" s="339"/>
      <c r="Y308" s="339"/>
      <c r="Z308" s="339"/>
      <c r="AA308" s="339"/>
      <c r="AB308" s="339"/>
      <c r="AC308" s="339"/>
      <c r="AD308" s="339"/>
      <c r="AE308" s="339"/>
      <c r="AF308" s="339"/>
      <c r="AG308" s="339"/>
      <c r="AH308" s="339"/>
      <c r="AI308" s="339"/>
      <c r="AJ308" s="339"/>
      <c r="AK308" s="339"/>
      <c r="AL308" s="339"/>
      <c r="AM308" s="339"/>
      <c r="AN308" s="341"/>
      <c r="AO308" s="341"/>
    </row>
    <row r="309" spans="1:41" s="342" customFormat="1" ht="18" hidden="1">
      <c r="A309" s="2146"/>
      <c r="B309" s="2141" t="s">
        <v>181</v>
      </c>
      <c r="C309" s="2148"/>
      <c r="D309" s="346">
        <f>IF(('Pl 2016-20 PFC'!D314)=0,"",'Pl 2016-20 PFC'!D314)</f>
        <v>500000</v>
      </c>
      <c r="E309" s="938">
        <f>IF(('Pl 2016-20 PFC'!E314)=0,"",'Pl 2016-20 PFC'!E314)</f>
        <v>500000</v>
      </c>
      <c r="F309" s="938" t="str">
        <f>IF(('Pl 2016-20 PFC'!F314)=0,"",'Pl 2016-20 PFC'!F314)</f>
        <v/>
      </c>
      <c r="G309" s="2097" t="str">
        <f>IF(('Pl 2016-20 PFC'!G314)=0,"",'Pl 2016-20 PFC'!G314)</f>
        <v/>
      </c>
      <c r="H309" s="2097" t="e">
        <f t="shared" si="13"/>
        <v>#VALUE!</v>
      </c>
      <c r="I309" s="2097" t="str">
        <f>IF(('Pl 2016-20 PFC'!H314)=0,"",'Pl 2016-20 PFC'!H314)</f>
        <v/>
      </c>
      <c r="J309" s="2097" t="str">
        <f>IF(('Pl 2016-20 PFC'!I314)=0,"",'Pl 2016-20 PFC'!I314)</f>
        <v/>
      </c>
      <c r="K309" s="938" t="e">
        <f>IF(('Pl 2016-20 PFC'!#REF!)=0,"",'Pl 2016-20 PFC'!#REF!)</f>
        <v>#REF!</v>
      </c>
      <c r="L309" s="991" t="e">
        <f t="shared" si="15"/>
        <v>#VALUE!</v>
      </c>
      <c r="M309" s="994"/>
      <c r="N309" s="994"/>
      <c r="O309" s="994"/>
      <c r="P309" s="994"/>
      <c r="Q309" s="994"/>
      <c r="R309" s="339"/>
      <c r="S309" s="339"/>
      <c r="T309" s="339"/>
      <c r="U309" s="339"/>
      <c r="V309" s="339"/>
      <c r="W309" s="339"/>
      <c r="X309" s="339"/>
      <c r="Y309" s="339"/>
      <c r="Z309" s="339"/>
      <c r="AA309" s="339"/>
      <c r="AB309" s="339"/>
      <c r="AC309" s="339"/>
      <c r="AD309" s="339"/>
      <c r="AE309" s="339"/>
      <c r="AF309" s="339"/>
      <c r="AG309" s="339"/>
      <c r="AH309" s="339"/>
      <c r="AI309" s="339"/>
      <c r="AJ309" s="339"/>
      <c r="AK309" s="339"/>
      <c r="AL309" s="339"/>
      <c r="AM309" s="339"/>
      <c r="AN309" s="341"/>
      <c r="AO309" s="341"/>
    </row>
    <row r="310" spans="1:41" s="342" customFormat="1" ht="18" hidden="1">
      <c r="A310" s="2146"/>
      <c r="B310" s="2141"/>
      <c r="C310" s="2148"/>
      <c r="D310" s="346"/>
      <c r="E310" s="938"/>
      <c r="F310" s="938"/>
      <c r="G310" s="2097"/>
      <c r="H310" s="2097">
        <f t="shared" si="13"/>
        <v>0</v>
      </c>
      <c r="I310" s="2097"/>
      <c r="J310" s="2097"/>
      <c r="K310" s="938"/>
      <c r="L310" s="991" t="e">
        <f t="shared" si="15"/>
        <v>#DIV/0!</v>
      </c>
      <c r="M310" s="994"/>
      <c r="N310" s="994"/>
      <c r="O310" s="994"/>
      <c r="P310" s="994"/>
      <c r="Q310" s="994"/>
      <c r="R310" s="339"/>
      <c r="S310" s="339"/>
      <c r="T310" s="339"/>
      <c r="U310" s="339"/>
      <c r="V310" s="339"/>
      <c r="W310" s="339"/>
      <c r="X310" s="339"/>
      <c r="Y310" s="339"/>
      <c r="Z310" s="339"/>
      <c r="AA310" s="339"/>
      <c r="AB310" s="339"/>
      <c r="AC310" s="339"/>
      <c r="AD310" s="339"/>
      <c r="AE310" s="339"/>
      <c r="AF310" s="339"/>
      <c r="AG310" s="339"/>
      <c r="AH310" s="339"/>
      <c r="AI310" s="339"/>
      <c r="AJ310" s="339"/>
      <c r="AK310" s="339"/>
      <c r="AL310" s="339"/>
      <c r="AM310" s="339"/>
      <c r="AN310" s="341"/>
      <c r="AO310" s="341"/>
    </row>
    <row r="311" spans="1:41" ht="18">
      <c r="A311" s="2146">
        <v>6</v>
      </c>
      <c r="B311" s="2141" t="s">
        <v>435</v>
      </c>
      <c r="C311" s="2148" t="s">
        <v>115</v>
      </c>
      <c r="D311" s="346">
        <f>SUM(D313,D315,D317,D319)</f>
        <v>915783000</v>
      </c>
      <c r="E311" s="938">
        <f>SUM(E313,E315,E317,E319)</f>
        <v>915783000</v>
      </c>
      <c r="F311" s="938">
        <f>SUM(F313,F315,F317,F319)</f>
        <v>922378500</v>
      </c>
      <c r="G311" s="2097">
        <f>SUM(G313,G315,G317,G319)</f>
        <v>922379000</v>
      </c>
      <c r="H311" s="2097">
        <f t="shared" si="13"/>
        <v>500</v>
      </c>
      <c r="I311" s="2097">
        <f>SUM(I313,I315,I317,I319)</f>
        <v>0</v>
      </c>
      <c r="J311" s="2097">
        <f>SUM(J313,J315,J317,J319)</f>
        <v>922379000</v>
      </c>
      <c r="K311" s="938" t="e">
        <f>SUM(K313,K315,K317,K319)</f>
        <v>#REF!</v>
      </c>
      <c r="L311" s="991">
        <f t="shared" si="15"/>
        <v>100.72025796504194</v>
      </c>
      <c r="M311" s="986"/>
      <c r="N311" s="986"/>
      <c r="O311" s="986"/>
      <c r="P311" s="986"/>
      <c r="Q311" s="986"/>
    </row>
    <row r="312" spans="1:41" ht="18" hidden="1">
      <c r="A312" s="2146"/>
      <c r="B312" s="2141" t="s">
        <v>289</v>
      </c>
      <c r="C312" s="2148"/>
      <c r="D312" s="346"/>
      <c r="E312" s="938"/>
      <c r="F312" s="938"/>
      <c r="G312" s="2097"/>
      <c r="H312" s="2097">
        <f t="shared" si="13"/>
        <v>0</v>
      </c>
      <c r="I312" s="2097"/>
      <c r="J312" s="2097"/>
      <c r="K312" s="938"/>
      <c r="L312" s="991" t="e">
        <f t="shared" si="15"/>
        <v>#DIV/0!</v>
      </c>
      <c r="M312" s="986"/>
      <c r="N312" s="986"/>
      <c r="O312" s="986"/>
      <c r="P312" s="986"/>
      <c r="Q312" s="986"/>
    </row>
    <row r="313" spans="1:41" s="342" customFormat="1" ht="18">
      <c r="A313" s="2146" t="s">
        <v>436</v>
      </c>
      <c r="B313" s="2141" t="s">
        <v>437</v>
      </c>
      <c r="C313" s="2148"/>
      <c r="D313" s="346">
        <f>'Pl 2016-20 PFC'!D318</f>
        <v>146341000</v>
      </c>
      <c r="E313" s="938">
        <f>'Pl 2016-20 PFC'!E318</f>
        <v>146341000</v>
      </c>
      <c r="F313" s="938">
        <f>'Pl 2016-20 PFC'!F318</f>
        <v>146341000</v>
      </c>
      <c r="G313" s="2097">
        <f>'Pl 2016-20 PFC'!G318</f>
        <v>146341000</v>
      </c>
      <c r="H313" s="2097">
        <f t="shared" si="13"/>
        <v>0</v>
      </c>
      <c r="I313" s="2097">
        <f>'Pl 2016-20 PFC'!H318</f>
        <v>0</v>
      </c>
      <c r="J313" s="2097">
        <f>'Pl 2016-20 PFC'!I318</f>
        <v>146341000</v>
      </c>
      <c r="K313" s="938" t="e">
        <f>'Pl 2016-20 PFC'!#REF!</f>
        <v>#REF!</v>
      </c>
      <c r="L313" s="991">
        <f t="shared" si="15"/>
        <v>100</v>
      </c>
      <c r="M313" s="994"/>
      <c r="N313" s="995">
        <f>(J313+J315)*1000</f>
        <v>150000000000</v>
      </c>
      <c r="O313" s="995" t="e">
        <f>K313+K315</f>
        <v>#REF!</v>
      </c>
      <c r="P313" s="994"/>
      <c r="Q313" s="994"/>
      <c r="R313" s="339"/>
      <c r="S313" s="339"/>
      <c r="T313" s="339"/>
      <c r="U313" s="339"/>
      <c r="V313" s="339"/>
      <c r="W313" s="339"/>
      <c r="X313" s="339"/>
      <c r="Y313" s="339"/>
      <c r="Z313" s="339"/>
      <c r="AA313" s="339"/>
      <c r="AB313" s="339"/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41"/>
      <c r="AO313" s="341"/>
    </row>
    <row r="314" spans="1:41" s="342" customFormat="1" ht="18" hidden="1">
      <c r="A314" s="2146"/>
      <c r="B314" s="2141"/>
      <c r="C314" s="2148"/>
      <c r="D314" s="346"/>
      <c r="E314" s="938"/>
      <c r="F314" s="938"/>
      <c r="G314" s="2097"/>
      <c r="H314" s="2097">
        <f t="shared" si="13"/>
        <v>0</v>
      </c>
      <c r="I314" s="2097"/>
      <c r="J314" s="2097"/>
      <c r="K314" s="938"/>
      <c r="L314" s="991" t="e">
        <f t="shared" si="15"/>
        <v>#DIV/0!</v>
      </c>
      <c r="M314" s="994"/>
      <c r="N314" s="994"/>
      <c r="O314" s="994"/>
      <c r="P314" s="994"/>
      <c r="Q314" s="994"/>
      <c r="R314" s="339"/>
      <c r="S314" s="339"/>
      <c r="T314" s="339"/>
      <c r="U314" s="339"/>
      <c r="V314" s="339"/>
      <c r="W314" s="339"/>
      <c r="X314" s="339"/>
      <c r="Y314" s="339"/>
      <c r="Z314" s="339"/>
      <c r="AA314" s="339"/>
      <c r="AB314" s="339"/>
      <c r="AC314" s="339"/>
      <c r="AD314" s="339"/>
      <c r="AE314" s="339"/>
      <c r="AF314" s="339"/>
      <c r="AG314" s="339"/>
      <c r="AH314" s="339"/>
      <c r="AI314" s="339"/>
      <c r="AJ314" s="339"/>
      <c r="AK314" s="339"/>
      <c r="AL314" s="339"/>
      <c r="AM314" s="339"/>
      <c r="AN314" s="341"/>
      <c r="AO314" s="341"/>
    </row>
    <row r="315" spans="1:41" s="342" customFormat="1" ht="18">
      <c r="A315" s="2146" t="s">
        <v>438</v>
      </c>
      <c r="B315" s="2141" t="s">
        <v>439</v>
      </c>
      <c r="C315" s="2148"/>
      <c r="D315" s="346">
        <f>'Pl 2016-20 PFC'!D320</f>
        <v>3659000</v>
      </c>
      <c r="E315" s="938">
        <f>'Pl 2016-20 PFC'!E320</f>
        <v>3659000</v>
      </c>
      <c r="F315" s="938">
        <f>'Pl 2016-20 PFC'!F320</f>
        <v>3659000</v>
      </c>
      <c r="G315" s="2097">
        <f>'Pl 2016-20 PFC'!G320</f>
        <v>3659000</v>
      </c>
      <c r="H315" s="2097">
        <f t="shared" si="13"/>
        <v>0</v>
      </c>
      <c r="I315" s="2097">
        <f>'Pl 2016-20 PFC'!H320</f>
        <v>0</v>
      </c>
      <c r="J315" s="2097">
        <f>'Pl 2016-20 PFC'!I320</f>
        <v>3659000</v>
      </c>
      <c r="K315" s="938" t="e">
        <f>'Pl 2016-20 PFC'!#REF!</f>
        <v>#REF!</v>
      </c>
      <c r="L315" s="991">
        <f t="shared" si="15"/>
        <v>100</v>
      </c>
      <c r="M315" s="994"/>
      <c r="N315" s="995">
        <f>(J317+J319)*1000</f>
        <v>772379000000</v>
      </c>
      <c r="O315" s="995" t="e">
        <f>K317+K319</f>
        <v>#REF!</v>
      </c>
      <c r="P315" s="994"/>
      <c r="Q315" s="994"/>
      <c r="R315" s="339"/>
      <c r="S315" s="339"/>
      <c r="T315" s="339"/>
      <c r="U315" s="339"/>
      <c r="V315" s="339"/>
      <c r="W315" s="339"/>
      <c r="X315" s="339"/>
      <c r="Y315" s="339"/>
      <c r="Z315" s="339"/>
      <c r="AA315" s="339"/>
      <c r="AB315" s="339"/>
      <c r="AC315" s="339"/>
      <c r="AD315" s="339"/>
      <c r="AE315" s="339"/>
      <c r="AF315" s="339"/>
      <c r="AG315" s="339"/>
      <c r="AH315" s="339"/>
      <c r="AI315" s="339"/>
      <c r="AJ315" s="339"/>
      <c r="AK315" s="339"/>
      <c r="AL315" s="339"/>
      <c r="AM315" s="339"/>
      <c r="AN315" s="341"/>
      <c r="AO315" s="341"/>
    </row>
    <row r="316" spans="1:41" s="342" customFormat="1" ht="18" hidden="1">
      <c r="A316" s="2146"/>
      <c r="B316" s="2141"/>
      <c r="C316" s="2148"/>
      <c r="D316" s="346"/>
      <c r="E316" s="938"/>
      <c r="F316" s="938"/>
      <c r="G316" s="2097"/>
      <c r="H316" s="2097">
        <f t="shared" si="13"/>
        <v>0</v>
      </c>
      <c r="I316" s="2097"/>
      <c r="J316" s="2097"/>
      <c r="K316" s="938"/>
      <c r="L316" s="991" t="e">
        <f t="shared" si="15"/>
        <v>#DIV/0!</v>
      </c>
      <c r="M316" s="994"/>
      <c r="N316" s="994"/>
      <c r="O316" s="994"/>
      <c r="P316" s="994"/>
      <c r="Q316" s="994"/>
      <c r="R316" s="339"/>
      <c r="S316" s="339"/>
      <c r="T316" s="339"/>
      <c r="U316" s="339"/>
      <c r="V316" s="339"/>
      <c r="W316" s="339"/>
      <c r="X316" s="339"/>
      <c r="Y316" s="339"/>
      <c r="Z316" s="339"/>
      <c r="AA316" s="339"/>
      <c r="AB316" s="339"/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41"/>
      <c r="AO316" s="341"/>
    </row>
    <row r="317" spans="1:41" s="342" customFormat="1" ht="18">
      <c r="A317" s="2146" t="s">
        <v>440</v>
      </c>
      <c r="B317" s="2141" t="s">
        <v>441</v>
      </c>
      <c r="C317" s="2148"/>
      <c r="D317" s="346">
        <f>'Pl 2016-20 PFC'!D322</f>
        <v>747105000</v>
      </c>
      <c r="E317" s="938">
        <f>'Pl 2016-20 PFC'!E322</f>
        <v>747105000</v>
      </c>
      <c r="F317" s="938">
        <f>'Pl 2016-20 PFC'!F322</f>
        <v>753540000</v>
      </c>
      <c r="G317" s="2097">
        <f>'Pl 2016-20 PFC'!G322</f>
        <v>753540000</v>
      </c>
      <c r="H317" s="2097">
        <f t="shared" si="13"/>
        <v>0</v>
      </c>
      <c r="I317" s="2097">
        <f>'Pl 2016-20 PFC'!H322</f>
        <v>0</v>
      </c>
      <c r="J317" s="2097">
        <f>'Pl 2016-20 PFC'!I322</f>
        <v>753540000</v>
      </c>
      <c r="K317" s="938" t="e">
        <f>'Pl 2016-20 PFC'!#REF!</f>
        <v>#REF!</v>
      </c>
      <c r="L317" s="991">
        <f t="shared" si="15"/>
        <v>100.8613247133937</v>
      </c>
      <c r="M317" s="994"/>
      <c r="N317" s="994"/>
      <c r="O317" s="994"/>
      <c r="P317" s="994"/>
      <c r="Q317" s="994"/>
      <c r="R317" s="339"/>
      <c r="S317" s="339"/>
      <c r="T317" s="339"/>
      <c r="U317" s="339"/>
      <c r="V317" s="339"/>
      <c r="W317" s="339"/>
      <c r="X317" s="339"/>
      <c r="Y317" s="339"/>
      <c r="Z317" s="339"/>
      <c r="AA317" s="339"/>
      <c r="AB317" s="339"/>
      <c r="AC317" s="339"/>
      <c r="AD317" s="339"/>
      <c r="AE317" s="339"/>
      <c r="AF317" s="339"/>
      <c r="AG317" s="339"/>
      <c r="AH317" s="339"/>
      <c r="AI317" s="339"/>
      <c r="AJ317" s="339"/>
      <c r="AK317" s="339"/>
      <c r="AL317" s="339"/>
      <c r="AM317" s="339"/>
      <c r="AN317" s="341"/>
      <c r="AO317" s="341"/>
    </row>
    <row r="318" spans="1:41" ht="18" hidden="1">
      <c r="A318" s="2146"/>
      <c r="B318" s="2141"/>
      <c r="C318" s="2148"/>
      <c r="D318" s="346"/>
      <c r="E318" s="938"/>
      <c r="F318" s="938"/>
      <c r="G318" s="2097"/>
      <c r="H318" s="2097">
        <f t="shared" si="13"/>
        <v>0</v>
      </c>
      <c r="I318" s="2097"/>
      <c r="J318" s="2097"/>
      <c r="K318" s="938"/>
      <c r="L318" s="991" t="e">
        <f t="shared" si="15"/>
        <v>#DIV/0!</v>
      </c>
      <c r="M318" s="986"/>
      <c r="N318" s="986"/>
      <c r="O318" s="986"/>
      <c r="P318" s="986"/>
      <c r="Q318" s="986"/>
    </row>
    <row r="319" spans="1:41" s="342" customFormat="1" ht="18">
      <c r="A319" s="2146" t="s">
        <v>442</v>
      </c>
      <c r="B319" s="2141" t="s">
        <v>443</v>
      </c>
      <c r="C319" s="2148"/>
      <c r="D319" s="346">
        <f>'Pl 2016-20 PFC'!D324</f>
        <v>18678000</v>
      </c>
      <c r="E319" s="938">
        <f>'Pl 2016-20 PFC'!E324</f>
        <v>18678000</v>
      </c>
      <c r="F319" s="938">
        <f>'Pl 2016-20 PFC'!F324</f>
        <v>18838500</v>
      </c>
      <c r="G319" s="2097">
        <f>'Pl 2016-20 PFC'!G324</f>
        <v>18839000</v>
      </c>
      <c r="H319" s="2097">
        <f t="shared" si="13"/>
        <v>500</v>
      </c>
      <c r="I319" s="2097">
        <f>'Pl 2016-20 PFC'!H324</f>
        <v>0</v>
      </c>
      <c r="J319" s="2097">
        <f>'Pl 2016-20 PFC'!I324</f>
        <v>18839000</v>
      </c>
      <c r="K319" s="938" t="e">
        <f>'Pl 2016-20 PFC'!#REF!</f>
        <v>#REF!</v>
      </c>
      <c r="L319" s="991">
        <f t="shared" si="15"/>
        <v>100.86197665702966</v>
      </c>
      <c r="M319" s="994"/>
      <c r="N319" s="994">
        <f>N315*0.001</f>
        <v>772379000</v>
      </c>
      <c r="O319" s="994" t="e">
        <f>O315*0.001</f>
        <v>#REF!</v>
      </c>
      <c r="P319" s="994"/>
      <c r="Q319" s="994"/>
      <c r="R319" s="339"/>
      <c r="S319" s="339"/>
      <c r="T319" s="339"/>
      <c r="U319" s="339"/>
      <c r="V319" s="340">
        <f>E72+E347-E373</f>
        <v>368971000</v>
      </c>
      <c r="W319" s="340">
        <f>F72+F347-F373</f>
        <v>10990541</v>
      </c>
      <c r="X319" s="340">
        <f>I72+I347-I373</f>
        <v>0</v>
      </c>
      <c r="Y319" s="340">
        <f>J72+J347-J373</f>
        <v>208785000</v>
      </c>
      <c r="Z319" s="340" t="e">
        <f>K72+K347-K373</f>
        <v>#REF!</v>
      </c>
      <c r="AA319" s="340"/>
      <c r="AB319" s="339"/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41"/>
      <c r="AO319" s="341"/>
    </row>
    <row r="320" spans="1:41" s="342" customFormat="1" ht="18" hidden="1">
      <c r="A320" s="2146"/>
      <c r="B320" s="2141"/>
      <c r="C320" s="2148"/>
      <c r="D320" s="346"/>
      <c r="E320" s="938"/>
      <c r="F320" s="938"/>
      <c r="G320" s="2097"/>
      <c r="H320" s="2097">
        <f t="shared" si="13"/>
        <v>0</v>
      </c>
      <c r="I320" s="2097"/>
      <c r="J320" s="2097"/>
      <c r="K320" s="938"/>
      <c r="L320" s="991" t="e">
        <f t="shared" si="15"/>
        <v>#DIV/0!</v>
      </c>
      <c r="M320" s="994"/>
      <c r="N320" s="994"/>
      <c r="O320" s="994"/>
      <c r="P320" s="994"/>
      <c r="Q320" s="994"/>
      <c r="R320" s="339"/>
      <c r="S320" s="339"/>
      <c r="T320" s="339"/>
      <c r="U320" s="339"/>
      <c r="V320" s="339"/>
      <c r="W320" s="339"/>
      <c r="X320" s="339"/>
      <c r="Y320" s="339"/>
      <c r="Z320" s="339"/>
      <c r="AA320" s="339"/>
      <c r="AB320" s="339"/>
      <c r="AC320" s="339"/>
      <c r="AD320" s="339"/>
      <c r="AE320" s="339"/>
      <c r="AF320" s="339"/>
      <c r="AG320" s="339"/>
      <c r="AH320" s="339"/>
      <c r="AI320" s="339"/>
      <c r="AJ320" s="339"/>
      <c r="AK320" s="339"/>
      <c r="AL320" s="339"/>
      <c r="AM320" s="339"/>
      <c r="AN320" s="341"/>
      <c r="AO320" s="341"/>
    </row>
    <row r="321" spans="1:41" s="342" customFormat="1" ht="18">
      <c r="A321" s="2146">
        <v>7</v>
      </c>
      <c r="B321" s="2141" t="s">
        <v>73</v>
      </c>
      <c r="C321" s="2148" t="s">
        <v>81</v>
      </c>
      <c r="D321" s="346">
        <f>SUM(D323:D324)</f>
        <v>4140000</v>
      </c>
      <c r="E321" s="938">
        <f>SUM(E323:E324)</f>
        <v>4118000</v>
      </c>
      <c r="F321" s="938">
        <f>SUM(F323:F324)</f>
        <v>1650000</v>
      </c>
      <c r="G321" s="2097">
        <f>SUM(G323:G324)</f>
        <v>1650000</v>
      </c>
      <c r="H321" s="2097">
        <f>G321-F321</f>
        <v>0</v>
      </c>
      <c r="I321" s="2097">
        <f>SUM(I323:I324)</f>
        <v>0</v>
      </c>
      <c r="J321" s="2097">
        <f>SUM(J323:J324)</f>
        <v>1650000</v>
      </c>
      <c r="K321" s="938" t="e">
        <f>SUM(K323:K324)</f>
        <v>#REF!</v>
      </c>
      <c r="L321" s="991">
        <f t="shared" si="15"/>
        <v>40.06799417192812</v>
      </c>
      <c r="M321" s="994"/>
      <c r="N321" s="994"/>
      <c r="O321" s="994"/>
      <c r="P321" s="994"/>
      <c r="Q321" s="994"/>
      <c r="R321" s="339"/>
      <c r="S321" s="339"/>
      <c r="T321" s="339"/>
      <c r="U321" s="339"/>
      <c r="V321" s="339"/>
      <c r="W321" s="339"/>
      <c r="X321" s="339"/>
      <c r="Y321" s="339"/>
      <c r="Z321" s="339"/>
      <c r="AA321" s="339"/>
      <c r="AB321" s="339"/>
      <c r="AC321" s="339"/>
      <c r="AD321" s="339"/>
      <c r="AE321" s="339"/>
      <c r="AF321" s="339"/>
      <c r="AG321" s="339"/>
      <c r="AH321" s="339"/>
      <c r="AI321" s="339"/>
      <c r="AJ321" s="339"/>
      <c r="AK321" s="339"/>
      <c r="AL321" s="339"/>
      <c r="AM321" s="339"/>
      <c r="AN321" s="341"/>
      <c r="AO321" s="341"/>
    </row>
    <row r="322" spans="1:41" s="342" customFormat="1" ht="18" hidden="1">
      <c r="A322" s="2152"/>
      <c r="B322" s="2179" t="s">
        <v>295</v>
      </c>
      <c r="C322" s="2180"/>
      <c r="D322" s="372"/>
      <c r="E322" s="947"/>
      <c r="F322" s="948"/>
      <c r="G322" s="2111"/>
      <c r="H322" s="2112"/>
      <c r="I322" s="2112"/>
      <c r="J322" s="2112"/>
      <c r="K322" s="948"/>
      <c r="L322" s="991" t="e">
        <f t="shared" si="15"/>
        <v>#DIV/0!</v>
      </c>
      <c r="M322" s="994"/>
      <c r="N322" s="994"/>
      <c r="O322" s="994"/>
      <c r="P322" s="994"/>
      <c r="Q322" s="994"/>
      <c r="R322" s="339"/>
      <c r="S322" s="339"/>
      <c r="T322" s="339"/>
      <c r="U322" s="339"/>
      <c r="V322" s="339"/>
      <c r="W322" s="339"/>
      <c r="X322" s="339"/>
      <c r="Y322" s="339"/>
      <c r="Z322" s="339"/>
      <c r="AA322" s="339"/>
      <c r="AB322" s="339"/>
      <c r="AC322" s="339"/>
      <c r="AD322" s="339"/>
      <c r="AE322" s="339"/>
      <c r="AF322" s="339"/>
      <c r="AG322" s="339"/>
      <c r="AH322" s="339"/>
      <c r="AI322" s="339"/>
      <c r="AJ322" s="339"/>
      <c r="AK322" s="339"/>
      <c r="AL322" s="339"/>
      <c r="AM322" s="339"/>
      <c r="AN322" s="341"/>
      <c r="AO322" s="341"/>
    </row>
    <row r="323" spans="1:41" s="342" customFormat="1" ht="18" hidden="1">
      <c r="A323" s="2152"/>
      <c r="B323" s="2179" t="s">
        <v>296</v>
      </c>
      <c r="C323" s="2180" t="s">
        <v>136</v>
      </c>
      <c r="D323" s="373">
        <f>'Pl 2016-20 PFC'!D328</f>
        <v>2621000</v>
      </c>
      <c r="E323" s="947">
        <f>'Pl 2016-20 PFC'!E328</f>
        <v>2600000</v>
      </c>
      <c r="F323" s="948">
        <f>'Pl 2016-20 PFC'!F328</f>
        <v>200000</v>
      </c>
      <c r="G323" s="2111">
        <f>'Pl 2016-20 PFC'!G328</f>
        <v>200000</v>
      </c>
      <c r="H323" s="2112"/>
      <c r="I323" s="2112">
        <f>'Pl 2016-20 PFC'!H328</f>
        <v>0</v>
      </c>
      <c r="J323" s="2112">
        <f>'Pl 2016-20 PFC'!I328</f>
        <v>200000</v>
      </c>
      <c r="K323" s="948" t="e">
        <f>'Pl 2016-20 PFC'!#REF!</f>
        <v>#REF!</v>
      </c>
      <c r="L323" s="991">
        <f t="shared" si="15"/>
        <v>7.6923076923076925</v>
      </c>
      <c r="M323" s="994"/>
      <c r="N323" s="994"/>
      <c r="O323" s="994"/>
      <c r="P323" s="994"/>
      <c r="Q323" s="994"/>
      <c r="R323" s="339"/>
      <c r="S323" s="339"/>
      <c r="T323" s="339"/>
      <c r="U323" s="339"/>
      <c r="V323" s="339"/>
      <c r="W323" s="339"/>
      <c r="X323" s="339"/>
      <c r="Y323" s="339"/>
      <c r="Z323" s="339"/>
      <c r="AA323" s="339"/>
      <c r="AB323" s="339"/>
      <c r="AC323" s="339"/>
      <c r="AD323" s="339"/>
      <c r="AE323" s="339"/>
      <c r="AF323" s="339"/>
      <c r="AG323" s="339"/>
      <c r="AH323" s="339"/>
      <c r="AI323" s="339"/>
      <c r="AJ323" s="339"/>
      <c r="AK323" s="339"/>
      <c r="AL323" s="339"/>
      <c r="AM323" s="339"/>
      <c r="AN323" s="341"/>
      <c r="AO323" s="341"/>
    </row>
    <row r="324" spans="1:41" s="342" customFormat="1" ht="18" hidden="1">
      <c r="A324" s="2152"/>
      <c r="B324" s="2179" t="s">
        <v>298</v>
      </c>
      <c r="C324" s="2180" t="s">
        <v>299</v>
      </c>
      <c r="D324" s="373">
        <f>'Pl 2016-20 PFC'!D329</f>
        <v>1519000</v>
      </c>
      <c r="E324" s="947">
        <f>'Pl 2016-20 PFC'!E329</f>
        <v>1518000</v>
      </c>
      <c r="F324" s="948">
        <f>'Pl 2016-20 PFC'!F329</f>
        <v>1450000</v>
      </c>
      <c r="G324" s="2111">
        <f>'Pl 2016-20 PFC'!G329</f>
        <v>1450000</v>
      </c>
      <c r="H324" s="2112"/>
      <c r="I324" s="2112">
        <f>'Pl 2016-20 PFC'!H329</f>
        <v>0</v>
      </c>
      <c r="J324" s="2112">
        <f>'Pl 2016-20 PFC'!I329</f>
        <v>1450000</v>
      </c>
      <c r="K324" s="948" t="e">
        <f>'Pl 2016-20 PFC'!#REF!</f>
        <v>#REF!</v>
      </c>
      <c r="L324" s="991">
        <f t="shared" si="15"/>
        <v>95.520421607378125</v>
      </c>
      <c r="M324" s="994"/>
      <c r="N324" s="994"/>
      <c r="O324" s="994"/>
      <c r="P324" s="994"/>
      <c r="Q324" s="994"/>
      <c r="R324" s="339"/>
      <c r="S324" s="339"/>
      <c r="T324" s="339"/>
      <c r="U324" s="339"/>
      <c r="V324" s="339"/>
      <c r="W324" s="339"/>
      <c r="X324" s="339"/>
      <c r="Y324" s="339"/>
      <c r="Z324" s="339"/>
      <c r="AA324" s="339"/>
      <c r="AB324" s="339"/>
      <c r="AC324" s="339"/>
      <c r="AD324" s="339"/>
      <c r="AE324" s="339"/>
      <c r="AF324" s="339"/>
      <c r="AG324" s="339"/>
      <c r="AH324" s="339"/>
      <c r="AI324" s="339"/>
      <c r="AJ324" s="339"/>
      <c r="AK324" s="339"/>
      <c r="AL324" s="339"/>
      <c r="AM324" s="339"/>
      <c r="AN324" s="341"/>
      <c r="AO324" s="341"/>
    </row>
    <row r="325" spans="1:41" s="342" customFormat="1" ht="18">
      <c r="A325" s="2152"/>
      <c r="B325" s="2188"/>
      <c r="C325" s="2180"/>
      <c r="D325" s="372"/>
      <c r="E325" s="933"/>
      <c r="F325" s="933"/>
      <c r="G325" s="2113"/>
      <c r="H325" s="2114"/>
      <c r="I325" s="2114"/>
      <c r="J325" s="2114"/>
      <c r="K325" s="933"/>
      <c r="L325" s="991"/>
      <c r="M325" s="994"/>
      <c r="N325" s="994"/>
      <c r="O325" s="994"/>
      <c r="P325" s="994"/>
      <c r="Q325" s="994"/>
      <c r="R325" s="339"/>
      <c r="S325" s="339"/>
      <c r="T325" s="339"/>
      <c r="U325" s="339"/>
      <c r="V325" s="339"/>
      <c r="W325" s="339"/>
      <c r="X325" s="339"/>
      <c r="Y325" s="339"/>
      <c r="Z325" s="339"/>
      <c r="AA325" s="339"/>
      <c r="AB325" s="339"/>
      <c r="AC325" s="339"/>
      <c r="AD325" s="339"/>
      <c r="AE325" s="339"/>
      <c r="AF325" s="339"/>
      <c r="AG325" s="339"/>
      <c r="AH325" s="339"/>
      <c r="AI325" s="339"/>
      <c r="AJ325" s="339"/>
      <c r="AK325" s="339"/>
      <c r="AL325" s="339"/>
      <c r="AM325" s="339"/>
      <c r="AN325" s="341"/>
      <c r="AO325" s="341"/>
    </row>
    <row r="326" spans="1:41" s="336" customFormat="1" ht="18">
      <c r="A326" s="2135" t="s">
        <v>644</v>
      </c>
      <c r="B326" s="2136" t="s">
        <v>1140</v>
      </c>
      <c r="C326" s="2137" t="s">
        <v>81</v>
      </c>
      <c r="D326" s="2138">
        <f>(D70+D87-D112)+D58</f>
        <v>163750000</v>
      </c>
      <c r="E326" s="2139">
        <f>(E70+E87-E112)+E58</f>
        <v>323203000</v>
      </c>
      <c r="F326" s="2094">
        <f>(F70+F87-F112)+F58</f>
        <v>-83901718</v>
      </c>
      <c r="G326" s="2093">
        <f>(G70+G87-G112)+G58</f>
        <v>115509000</v>
      </c>
      <c r="H326" s="2094">
        <f t="shared" ref="H326:H341" si="16">G326-F326</f>
        <v>199410718</v>
      </c>
      <c r="I326" s="2094">
        <f>(I70+I87-I112)+I58</f>
        <v>0</v>
      </c>
      <c r="J326" s="2094">
        <f>(J70+J87-J112)+J58</f>
        <v>115509000</v>
      </c>
      <c r="K326" s="962" t="e">
        <f>(K70+K87-K112)+K58</f>
        <v>#REF!</v>
      </c>
      <c r="L326" s="991">
        <f t="shared" si="15"/>
        <v>35.738839057805777</v>
      </c>
      <c r="M326" s="992"/>
      <c r="N326" s="992"/>
      <c r="O326" s="992"/>
      <c r="P326" s="992"/>
      <c r="Q326" s="992"/>
      <c r="R326" s="334"/>
      <c r="S326" s="334"/>
      <c r="T326" s="334"/>
      <c r="U326" s="334"/>
      <c r="V326" s="334"/>
      <c r="W326" s="334"/>
      <c r="X326" s="334"/>
      <c r="Y326" s="334"/>
      <c r="Z326" s="334"/>
      <c r="AA326" s="334"/>
      <c r="AB326" s="334"/>
      <c r="AC326" s="334"/>
      <c r="AD326" s="334"/>
      <c r="AE326" s="334"/>
      <c r="AF326" s="334"/>
      <c r="AG326" s="334"/>
      <c r="AH326" s="334"/>
      <c r="AI326" s="334"/>
      <c r="AJ326" s="334"/>
      <c r="AK326" s="334"/>
      <c r="AL326" s="334"/>
      <c r="AM326" s="334"/>
      <c r="AN326" s="334"/>
      <c r="AO326" s="334"/>
    </row>
    <row r="327" spans="1:41" s="356" customFormat="1" ht="18">
      <c r="A327" s="2140"/>
      <c r="B327" s="2141" t="s">
        <v>82</v>
      </c>
      <c r="C327" s="2142"/>
      <c r="D327" s="2143">
        <f>SUM(D328:D329,D332)+SUM(D336:D341)</f>
        <v>133165000</v>
      </c>
      <c r="E327" s="2144">
        <f>SUM(E328:E329,E332)+SUM(E336:E341)</f>
        <v>294248000</v>
      </c>
      <c r="F327" s="2145">
        <f>SUM(F328:F329,F332)+SUM(F336:F341)</f>
        <v>-123988754.69000006</v>
      </c>
      <c r="G327" s="2115">
        <f>SUM(G328:G329,G332)+SUM(G336:G341)</f>
        <v>115509000</v>
      </c>
      <c r="H327" s="2116">
        <f t="shared" si="16"/>
        <v>239497754.69000006</v>
      </c>
      <c r="I327" s="2117">
        <f>SUM(I328:I329,I332)+SUM(I336:I341)</f>
        <v>0</v>
      </c>
      <c r="J327" s="2117">
        <f>SUM(J328:J329,J332)+SUM(J336:J341)</f>
        <v>115509000</v>
      </c>
      <c r="K327" s="949" t="e">
        <f>SUM(K328:K329,K332)+SUM(K336:K341)</f>
        <v>#REF!</v>
      </c>
      <c r="L327" s="991">
        <f t="shared" si="15"/>
        <v>39.255661890650067</v>
      </c>
      <c r="M327" s="994"/>
      <c r="N327" s="994"/>
      <c r="O327" s="2263" t="s">
        <v>651</v>
      </c>
      <c r="P327" s="2263"/>
      <c r="Q327" s="2263"/>
      <c r="R327" s="339"/>
      <c r="S327" s="339"/>
      <c r="T327" s="339"/>
      <c r="U327" s="339"/>
      <c r="V327" s="339"/>
      <c r="W327" s="339"/>
      <c r="X327" s="339"/>
      <c r="Y327" s="339"/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55"/>
      <c r="AO327" s="355"/>
    </row>
    <row r="328" spans="1:41" s="381" customFormat="1" ht="33.75" customHeight="1">
      <c r="A328" s="2146">
        <v>1</v>
      </c>
      <c r="B328" s="2195" t="s">
        <v>351</v>
      </c>
      <c r="C328" s="2148" t="s">
        <v>81</v>
      </c>
      <c r="D328" s="2149">
        <f>'Pl 2016-20 PFC'!D333</f>
        <v>172001000</v>
      </c>
      <c r="E328" s="2097">
        <f>'Pl 2016-20 PFC'!E333</f>
        <v>340016000</v>
      </c>
      <c r="F328" s="2097">
        <f>'Pl 2016-20 PFC'!F333</f>
        <v>0</v>
      </c>
      <c r="G328" s="2097">
        <f>'Pl 2016-20 PFC'!G333</f>
        <v>198428000</v>
      </c>
      <c r="H328" s="2097">
        <f t="shared" si="16"/>
        <v>198428000</v>
      </c>
      <c r="I328" s="2097">
        <f>'Pl 2016-20 PFC'!H333</f>
        <v>0</v>
      </c>
      <c r="J328" s="2097">
        <f>'Pl 2016-20 PFC'!I333</f>
        <v>198428000</v>
      </c>
      <c r="K328" s="939" t="e">
        <f>'Pl 2016-20 PFC'!#REF!</f>
        <v>#REF!</v>
      </c>
      <c r="L328" s="991">
        <f t="shared" si="15"/>
        <v>58.358430191520398</v>
      </c>
      <c r="M328" s="994"/>
      <c r="N328" s="995">
        <f>E72+E347-E373</f>
        <v>368971000</v>
      </c>
      <c r="O328" s="995">
        <f>F72+F347-F373</f>
        <v>10990541</v>
      </c>
      <c r="P328" s="995">
        <f>I72+I347-I373</f>
        <v>0</v>
      </c>
      <c r="Q328" s="995">
        <f>J72+J347-J373</f>
        <v>208785000</v>
      </c>
      <c r="R328" s="379" t="e">
        <f>K72+K347-K373</f>
        <v>#REF!</v>
      </c>
      <c r="S328" s="379"/>
      <c r="T328" s="378"/>
      <c r="U328" s="378"/>
      <c r="V328" s="378"/>
      <c r="W328" s="378"/>
      <c r="X328" s="378"/>
      <c r="Y328" s="378"/>
      <c r="Z328" s="378"/>
      <c r="AA328" s="378"/>
      <c r="AB328" s="378"/>
      <c r="AC328" s="378"/>
      <c r="AD328" s="378"/>
      <c r="AE328" s="378"/>
      <c r="AF328" s="378"/>
      <c r="AG328" s="378"/>
      <c r="AH328" s="378"/>
      <c r="AI328" s="378"/>
      <c r="AJ328" s="378"/>
      <c r="AK328" s="378"/>
      <c r="AL328" s="378"/>
      <c r="AM328" s="378"/>
      <c r="AN328" s="380"/>
      <c r="AO328" s="380"/>
    </row>
    <row r="329" spans="1:41" s="342" customFormat="1" ht="18">
      <c r="A329" s="2146">
        <v>2</v>
      </c>
      <c r="B329" s="2147" t="s">
        <v>86</v>
      </c>
      <c r="C329" s="2148" t="s">
        <v>81</v>
      </c>
      <c r="D329" s="2149">
        <f>'Pl 2016-20 PFC'!D336</f>
        <v>808710000</v>
      </c>
      <c r="E329" s="2097">
        <f>'Pl 2016-20 PFC'!E336</f>
        <v>830553000</v>
      </c>
      <c r="F329" s="2097">
        <f>'Pl 2016-20 PFC'!F336</f>
        <v>813040530.29999995</v>
      </c>
      <c r="G329" s="2097">
        <f>'Pl 2016-20 PFC'!G336</f>
        <v>813041000</v>
      </c>
      <c r="H329" s="2097">
        <f t="shared" si="16"/>
        <v>469.70000004768372</v>
      </c>
      <c r="I329" s="2097">
        <f>'Pl 2016-20 PFC'!H336</f>
        <v>0</v>
      </c>
      <c r="J329" s="2097">
        <f>'Pl 2016-20 PFC'!I336</f>
        <v>813041000</v>
      </c>
      <c r="K329" s="939" t="e">
        <f>'Pl 2016-20 PFC'!#REF!</f>
        <v>#REF!</v>
      </c>
      <c r="L329" s="991">
        <f t="shared" si="15"/>
        <v>97.89152528496075</v>
      </c>
      <c r="M329" s="994"/>
      <c r="N329" s="995">
        <f>N328-100</f>
        <v>368970900</v>
      </c>
      <c r="O329" s="995">
        <f>O328-100</f>
        <v>10990441</v>
      </c>
      <c r="P329" s="995">
        <f>P328-100</f>
        <v>-100</v>
      </c>
      <c r="Q329" s="995">
        <f>Q328-100</f>
        <v>208784900</v>
      </c>
      <c r="R329" s="340" t="e">
        <f>R328-100</f>
        <v>#REF!</v>
      </c>
      <c r="S329" s="339"/>
      <c r="T329" s="339"/>
      <c r="U329" s="339"/>
      <c r="V329" s="339"/>
      <c r="W329" s="339"/>
      <c r="X329" s="339"/>
      <c r="Y329" s="339"/>
      <c r="Z329" s="339"/>
      <c r="AA329" s="339"/>
      <c r="AB329" s="339"/>
      <c r="AC329" s="339"/>
      <c r="AD329" s="339"/>
      <c r="AE329" s="339"/>
      <c r="AF329" s="339"/>
      <c r="AG329" s="339"/>
      <c r="AH329" s="339"/>
      <c r="AI329" s="339"/>
      <c r="AJ329" s="339"/>
      <c r="AK329" s="339"/>
      <c r="AL329" s="339"/>
      <c r="AM329" s="339"/>
      <c r="AN329" s="341"/>
      <c r="AO329" s="341"/>
    </row>
    <row r="330" spans="1:41" s="342" customFormat="1" ht="15.75" customHeight="1">
      <c r="A330" s="2146" t="s">
        <v>20</v>
      </c>
      <c r="B330" s="2147" t="s">
        <v>445</v>
      </c>
      <c r="C330" s="2148" t="s">
        <v>81</v>
      </c>
      <c r="D330" s="2149">
        <f>'Pl 2016-20 PFC'!D337</f>
        <v>610000000</v>
      </c>
      <c r="E330" s="2097">
        <f>'Pl 2016-20 PFC'!E337</f>
        <v>550000000</v>
      </c>
      <c r="F330" s="2097">
        <f>'Pl 2016-20 PFC'!F337</f>
        <v>530000000</v>
      </c>
      <c r="G330" s="2097">
        <f>'Pl 2016-20 PFC'!G337</f>
        <v>530000000</v>
      </c>
      <c r="H330" s="2097">
        <f t="shared" si="16"/>
        <v>0</v>
      </c>
      <c r="I330" s="2097">
        <f>'Pl 2016-20 PFC'!H337</f>
        <v>0</v>
      </c>
      <c r="J330" s="2097">
        <f>'Pl 2016-20 PFC'!I337</f>
        <v>530000000</v>
      </c>
      <c r="K330" s="939" t="e">
        <f>'Pl 2016-20 PFC'!#REF!</f>
        <v>#REF!</v>
      </c>
      <c r="L330" s="991">
        <f t="shared" si="15"/>
        <v>96.36363636363636</v>
      </c>
      <c r="M330" s="994"/>
      <c r="N330" s="995">
        <f>N329-E606</f>
        <v>29054900</v>
      </c>
      <c r="O330" s="995">
        <f>O329-F606</f>
        <v>11090441</v>
      </c>
      <c r="P330" s="995"/>
      <c r="Q330" s="995"/>
      <c r="R330" s="340"/>
      <c r="S330" s="339"/>
      <c r="T330" s="339"/>
      <c r="U330" s="339"/>
      <c r="V330" s="339"/>
      <c r="W330" s="339"/>
      <c r="X330" s="339"/>
      <c r="Y330" s="339"/>
      <c r="Z330" s="339"/>
      <c r="AA330" s="339"/>
      <c r="AB330" s="339"/>
      <c r="AC330" s="339"/>
      <c r="AD330" s="339"/>
      <c r="AE330" s="339"/>
      <c r="AF330" s="339"/>
      <c r="AG330" s="339"/>
      <c r="AH330" s="339"/>
      <c r="AI330" s="339"/>
      <c r="AJ330" s="339"/>
      <c r="AK330" s="339"/>
      <c r="AL330" s="339"/>
      <c r="AM330" s="339"/>
      <c r="AN330" s="341"/>
      <c r="AO330" s="341"/>
    </row>
    <row r="331" spans="1:41" s="342" customFormat="1" ht="15.75" customHeight="1">
      <c r="A331" s="2146" t="s">
        <v>189</v>
      </c>
      <c r="B331" s="2147" t="s">
        <v>446</v>
      </c>
      <c r="C331" s="2148" t="s">
        <v>81</v>
      </c>
      <c r="D331" s="2149">
        <f>'Pl 2016-20 PFC'!D338</f>
        <v>5637000</v>
      </c>
      <c r="E331" s="2097">
        <f>'Pl 2016-20 PFC'!E338</f>
        <v>3345790</v>
      </c>
      <c r="F331" s="2097">
        <f>'Pl 2016-20 PFC'!F338</f>
        <v>3301804.06</v>
      </c>
      <c r="G331" s="2097">
        <f>'Pl 2016-20 PFC'!G338</f>
        <v>3302000</v>
      </c>
      <c r="H331" s="2097">
        <f t="shared" si="16"/>
        <v>195.93999999994412</v>
      </c>
      <c r="I331" s="2097">
        <f>'Pl 2016-20 PFC'!H338</f>
        <v>0</v>
      </c>
      <c r="J331" s="2097">
        <f>'Pl 2016-20 PFC'!I338</f>
        <v>3302000</v>
      </c>
      <c r="K331" s="939" t="e">
        <f>'Pl 2016-20 PFC'!#REF!</f>
        <v>#REF!</v>
      </c>
      <c r="L331" s="991">
        <f t="shared" si="15"/>
        <v>98.691191019161394</v>
      </c>
      <c r="M331" s="994"/>
      <c r="N331" s="995"/>
      <c r="O331" s="995"/>
      <c r="P331" s="995"/>
      <c r="Q331" s="995"/>
      <c r="R331" s="340"/>
      <c r="S331" s="339"/>
      <c r="T331" s="339"/>
      <c r="U331" s="339"/>
      <c r="V331" s="339"/>
      <c r="W331" s="339"/>
      <c r="X331" s="339"/>
      <c r="Y331" s="339"/>
      <c r="Z331" s="339"/>
      <c r="AA331" s="339"/>
      <c r="AB331" s="339"/>
      <c r="AC331" s="339"/>
      <c r="AD331" s="339"/>
      <c r="AE331" s="339"/>
      <c r="AF331" s="339"/>
      <c r="AG331" s="339"/>
      <c r="AH331" s="339"/>
      <c r="AI331" s="339"/>
      <c r="AJ331" s="339"/>
      <c r="AK331" s="339"/>
      <c r="AL331" s="339"/>
      <c r="AM331" s="339"/>
      <c r="AN331" s="341"/>
      <c r="AO331" s="341"/>
    </row>
    <row r="332" spans="1:41" s="342" customFormat="1" ht="18">
      <c r="A332" s="2146">
        <v>3</v>
      </c>
      <c r="B332" s="2147" t="s">
        <v>354</v>
      </c>
      <c r="C332" s="2148" t="s">
        <v>81</v>
      </c>
      <c r="D332" s="2149">
        <f>'Pl 2016-20 PFC'!D339</f>
        <v>-68813000</v>
      </c>
      <c r="E332" s="2097">
        <f>'Pl 2016-20 PFC'!E339</f>
        <v>-58346000</v>
      </c>
      <c r="F332" s="2097">
        <f>'Pl 2016-20 PFC'!F339</f>
        <v>-55132004.060000002</v>
      </c>
      <c r="G332" s="2097">
        <f>'Pl 2016-20 PFC'!G339</f>
        <v>-55132000</v>
      </c>
      <c r="H332" s="2097">
        <f t="shared" si="16"/>
        <v>4.0600000023841858</v>
      </c>
      <c r="I332" s="2097">
        <f>'Pl 2016-20 PFC'!H339</f>
        <v>0</v>
      </c>
      <c r="J332" s="2097">
        <f>'Pl 2016-20 PFC'!I339</f>
        <v>-55132000</v>
      </c>
      <c r="K332" s="939" t="e">
        <f>'Pl 2016-20 PFC'!#REF!</f>
        <v>#REF!</v>
      </c>
      <c r="L332" s="991">
        <f t="shared" si="15"/>
        <v>94.4914818496555</v>
      </c>
      <c r="M332" s="994"/>
      <c r="N332" s="994"/>
      <c r="O332" s="994"/>
      <c r="P332" s="994"/>
      <c r="Q332" s="994"/>
      <c r="R332" s="339"/>
      <c r="S332" s="339"/>
      <c r="T332" s="339"/>
      <c r="U332" s="339"/>
      <c r="V332" s="339"/>
      <c r="W332" s="339"/>
      <c r="X332" s="339"/>
      <c r="Y332" s="339"/>
      <c r="Z332" s="339"/>
      <c r="AA332" s="339"/>
      <c r="AB332" s="339"/>
      <c r="AC332" s="339"/>
      <c r="AD332" s="339"/>
      <c r="AE332" s="339"/>
      <c r="AF332" s="339"/>
      <c r="AG332" s="339"/>
      <c r="AH332" s="339"/>
      <c r="AI332" s="339"/>
      <c r="AJ332" s="339"/>
      <c r="AK332" s="339"/>
      <c r="AL332" s="339"/>
      <c r="AM332" s="339"/>
      <c r="AN332" s="341"/>
      <c r="AO332" s="341"/>
    </row>
    <row r="333" spans="1:41" s="342" customFormat="1" ht="18">
      <c r="A333" s="2146" t="s">
        <v>355</v>
      </c>
      <c r="B333" s="2147" t="str">
        <f>+'Pl 2016-20 PFC'!B340</f>
        <v>pozostałe:</v>
      </c>
      <c r="C333" s="2148" t="s">
        <v>81</v>
      </c>
      <c r="D333" s="2149">
        <f>'Pl 2016-20 PFC'!D340</f>
        <v>-68813000</v>
      </c>
      <c r="E333" s="2097">
        <f>'Pl 2016-20 PFC'!E340</f>
        <v>-58346000</v>
      </c>
      <c r="F333" s="2097">
        <f>'Pl 2016-20 PFC'!F340</f>
        <v>-55132004.060000002</v>
      </c>
      <c r="G333" s="2097">
        <f>'Pl 2016-20 PFC'!G340</f>
        <v>-55132000</v>
      </c>
      <c r="H333" s="2097">
        <f t="shared" si="16"/>
        <v>4.0600000023841858</v>
      </c>
      <c r="I333" s="2097">
        <f>'Pl 2016-20 PFC'!H340</f>
        <v>0</v>
      </c>
      <c r="J333" s="2097">
        <f>'Pl 2016-20 PFC'!I340</f>
        <v>-55132000</v>
      </c>
      <c r="K333" s="939" t="e">
        <f>'Pl 2016-20 PFC'!#REF!</f>
        <v>#REF!</v>
      </c>
      <c r="L333" s="991">
        <f t="shared" si="15"/>
        <v>94.4914818496555</v>
      </c>
      <c r="M333" s="994"/>
      <c r="N333" s="994"/>
      <c r="O333" s="994"/>
      <c r="P333" s="994"/>
      <c r="Q333" s="994"/>
      <c r="R333" s="339"/>
      <c r="S333" s="339"/>
      <c r="T333" s="339"/>
      <c r="U333" s="339"/>
      <c r="V333" s="339"/>
      <c r="W333" s="339"/>
      <c r="X333" s="339"/>
      <c r="Y333" s="339"/>
      <c r="Z333" s="339"/>
      <c r="AA333" s="339"/>
      <c r="AB333" s="339"/>
      <c r="AC333" s="339"/>
      <c r="AD333" s="339"/>
      <c r="AE333" s="339"/>
      <c r="AF333" s="339"/>
      <c r="AG333" s="339"/>
      <c r="AH333" s="339"/>
      <c r="AI333" s="339"/>
      <c r="AJ333" s="339"/>
      <c r="AK333" s="339"/>
      <c r="AL333" s="339"/>
      <c r="AM333" s="339"/>
      <c r="AN333" s="341"/>
      <c r="AO333" s="341"/>
    </row>
    <row r="334" spans="1:41" s="342" customFormat="1" hidden="1">
      <c r="A334" s="2085" t="s">
        <v>93</v>
      </c>
      <c r="B334" s="375" t="str">
        <f>+'Pl 2016-20 PFC'!B341</f>
        <v xml:space="preserve">  - wymagalne</v>
      </c>
      <c r="C334" s="376" t="s">
        <v>81</v>
      </c>
      <c r="D334" s="377">
        <f>'Pl 2016-20 PFC'!D341</f>
        <v>0</v>
      </c>
      <c r="E334" s="939">
        <f>'Pl 2016-20 PFC'!E341</f>
        <v>0</v>
      </c>
      <c r="F334" s="939">
        <f>'Pl 2016-20 PFC'!F341</f>
        <v>0</v>
      </c>
      <c r="G334" s="939">
        <f>'Pl 2016-20 PFC'!G341</f>
        <v>0</v>
      </c>
      <c r="H334" s="939">
        <f t="shared" si="16"/>
        <v>0</v>
      </c>
      <c r="I334" s="939">
        <f>'Pl 2016-20 PFC'!H341</f>
        <v>0</v>
      </c>
      <c r="J334" s="939">
        <f>'Pl 2016-20 PFC'!I341</f>
        <v>0</v>
      </c>
      <c r="K334" s="939" t="e">
        <f>'Pl 2016-20 PFC'!#REF!</f>
        <v>#REF!</v>
      </c>
      <c r="L334" s="991" t="e">
        <f t="shared" si="15"/>
        <v>#DIV/0!</v>
      </c>
      <c r="M334" s="994"/>
      <c r="N334" s="994"/>
      <c r="O334" s="994"/>
      <c r="P334" s="994"/>
      <c r="Q334" s="994"/>
      <c r="R334" s="339"/>
      <c r="S334" s="339"/>
      <c r="T334" s="339"/>
      <c r="U334" s="339"/>
      <c r="V334" s="339"/>
      <c r="W334" s="339"/>
      <c r="X334" s="339"/>
      <c r="Y334" s="339"/>
      <c r="Z334" s="339"/>
      <c r="AA334" s="339"/>
      <c r="AB334" s="339"/>
      <c r="AC334" s="339"/>
      <c r="AD334" s="339"/>
      <c r="AE334" s="339"/>
      <c r="AF334" s="339"/>
      <c r="AG334" s="339"/>
      <c r="AH334" s="339"/>
      <c r="AI334" s="339"/>
      <c r="AJ334" s="339"/>
      <c r="AK334" s="339"/>
      <c r="AL334" s="339"/>
      <c r="AM334" s="339"/>
      <c r="AN334" s="341"/>
      <c r="AO334" s="341"/>
    </row>
    <row r="335" spans="1:41" s="342" customFormat="1" ht="18">
      <c r="A335" s="2146" t="s">
        <v>356</v>
      </c>
      <c r="B335" s="2147" t="s">
        <v>95</v>
      </c>
      <c r="C335" s="376" t="s">
        <v>81</v>
      </c>
      <c r="D335" s="377"/>
      <c r="E335" s="939"/>
      <c r="F335" s="939"/>
      <c r="G335" s="939"/>
      <c r="H335" s="939">
        <f t="shared" si="16"/>
        <v>0</v>
      </c>
      <c r="I335" s="939"/>
      <c r="J335" s="939"/>
      <c r="K335" s="939"/>
      <c r="L335" s="991"/>
      <c r="M335" s="994"/>
      <c r="N335" s="994"/>
      <c r="O335" s="994"/>
      <c r="P335" s="994"/>
      <c r="Q335" s="994"/>
      <c r="R335" s="339"/>
      <c r="S335" s="339"/>
      <c r="T335" s="339"/>
      <c r="U335" s="339"/>
      <c r="V335" s="339"/>
      <c r="W335" s="339"/>
      <c r="X335" s="339"/>
      <c r="Y335" s="339"/>
      <c r="Z335" s="339"/>
      <c r="AA335" s="339"/>
      <c r="AB335" s="339"/>
      <c r="AC335" s="339"/>
      <c r="AD335" s="339"/>
      <c r="AE335" s="339"/>
      <c r="AF335" s="339"/>
      <c r="AG335" s="339"/>
      <c r="AH335" s="339"/>
      <c r="AI335" s="339"/>
      <c r="AJ335" s="339"/>
      <c r="AK335" s="339"/>
      <c r="AL335" s="339"/>
      <c r="AM335" s="339"/>
      <c r="AN335" s="341"/>
      <c r="AO335" s="341"/>
    </row>
    <row r="336" spans="1:41" s="356" customFormat="1" hidden="1">
      <c r="A336" s="382" t="s">
        <v>24</v>
      </c>
      <c r="B336" s="375" t="s">
        <v>96</v>
      </c>
      <c r="C336" s="376" t="s">
        <v>81</v>
      </c>
      <c r="D336" s="377">
        <f>'Pl 2016-20 PFC'!D343</f>
        <v>46252000</v>
      </c>
      <c r="E336" s="939">
        <f>'Pl 2016-20 PFC'!E343</f>
        <v>25809000</v>
      </c>
      <c r="F336" s="939">
        <f>'Pl 2016-20 PFC'!F343</f>
        <v>35906341.670000002</v>
      </c>
      <c r="G336" s="939">
        <f>'Pl 2016-20 PFC'!G343</f>
        <v>35495000</v>
      </c>
      <c r="H336" s="939">
        <f t="shared" si="16"/>
        <v>-411341.67000000179</v>
      </c>
      <c r="I336" s="939">
        <f>'Pl 2016-20 PFC'!H343</f>
        <v>0</v>
      </c>
      <c r="J336" s="939">
        <f>'Pl 2016-20 PFC'!I343</f>
        <v>35495000</v>
      </c>
      <c r="K336" s="939" t="e">
        <f>'Pl 2016-20 PFC'!#REF!</f>
        <v>#REF!</v>
      </c>
      <c r="L336" s="991">
        <f t="shared" si="15"/>
        <v>137.5295439575342</v>
      </c>
      <c r="M336" s="994"/>
      <c r="N336" s="994"/>
      <c r="O336" s="994"/>
      <c r="P336" s="994"/>
      <c r="Q336" s="994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55"/>
      <c r="AO336" s="355"/>
    </row>
    <row r="337" spans="1:41" s="356" customFormat="1" hidden="1">
      <c r="A337" s="382" t="s">
        <v>25</v>
      </c>
      <c r="B337" s="375" t="s">
        <v>97</v>
      </c>
      <c r="C337" s="376" t="s">
        <v>81</v>
      </c>
      <c r="D337" s="377">
        <f>'Pl 2016-20 PFC'!D344</f>
        <v>30500000</v>
      </c>
      <c r="E337" s="939">
        <f>'Pl 2016-20 PFC'!E344</f>
        <v>45361000</v>
      </c>
      <c r="F337" s="939">
        <f>'Pl 2016-20 PFC'!F344</f>
        <v>44982154.630000003</v>
      </c>
      <c r="G337" s="939">
        <f>'Pl 2016-20 PFC'!G344</f>
        <v>44982000</v>
      </c>
      <c r="H337" s="939">
        <f t="shared" si="16"/>
        <v>-154.63000000268221</v>
      </c>
      <c r="I337" s="939">
        <f>'Pl 2016-20 PFC'!H344</f>
        <v>0</v>
      </c>
      <c r="J337" s="939">
        <f>'Pl 2016-20 PFC'!I344</f>
        <v>44982000</v>
      </c>
      <c r="K337" s="939" t="e">
        <f>'Pl 2016-20 PFC'!#REF!</f>
        <v>#REF!</v>
      </c>
      <c r="L337" s="991">
        <f t="shared" si="15"/>
        <v>99.164480500870795</v>
      </c>
      <c r="M337" s="994"/>
      <c r="N337" s="994"/>
      <c r="O337" s="994"/>
      <c r="P337" s="994"/>
      <c r="Q337" s="994"/>
      <c r="R337" s="339"/>
      <c r="S337" s="339"/>
      <c r="T337" s="339"/>
      <c r="U337" s="339"/>
      <c r="V337" s="339"/>
      <c r="W337" s="339"/>
      <c r="X337" s="339"/>
      <c r="Y337" s="339"/>
      <c r="Z337" s="339"/>
      <c r="AA337" s="339"/>
      <c r="AB337" s="339"/>
      <c r="AC337" s="339"/>
      <c r="AD337" s="339"/>
      <c r="AE337" s="339"/>
      <c r="AF337" s="339"/>
      <c r="AG337" s="339"/>
      <c r="AH337" s="339"/>
      <c r="AI337" s="339"/>
      <c r="AJ337" s="339"/>
      <c r="AK337" s="339"/>
      <c r="AL337" s="339"/>
      <c r="AM337" s="339"/>
      <c r="AN337" s="355"/>
      <c r="AO337" s="355"/>
    </row>
    <row r="338" spans="1:41" s="342" customFormat="1" hidden="1">
      <c r="A338" s="382" t="s">
        <v>29</v>
      </c>
      <c r="B338" s="375" t="s">
        <v>98</v>
      </c>
      <c r="C338" s="376" t="s">
        <v>81</v>
      </c>
      <c r="D338" s="377">
        <f>'Pl 2016-20 PFC'!D345</f>
        <v>-1600000</v>
      </c>
      <c r="E338" s="939">
        <f>'Pl 2016-20 PFC'!E345</f>
        <v>-1450000</v>
      </c>
      <c r="F338" s="939">
        <f>'Pl 2016-20 PFC'!F345</f>
        <v>-1530000</v>
      </c>
      <c r="G338" s="939">
        <f>'Pl 2016-20 PFC'!G345</f>
        <v>-1530000</v>
      </c>
      <c r="H338" s="939">
        <f t="shared" si="16"/>
        <v>0</v>
      </c>
      <c r="I338" s="939">
        <f>'Pl 2016-20 PFC'!H345</f>
        <v>0</v>
      </c>
      <c r="J338" s="939">
        <f>'Pl 2016-20 PFC'!I345</f>
        <v>-1530000</v>
      </c>
      <c r="K338" s="939" t="e">
        <f>'Pl 2016-20 PFC'!#REF!</f>
        <v>#REF!</v>
      </c>
      <c r="L338" s="991">
        <f t="shared" si="15"/>
        <v>105.51724137931035</v>
      </c>
      <c r="M338" s="994"/>
      <c r="N338" s="994"/>
      <c r="O338" s="994"/>
      <c r="P338" s="994"/>
      <c r="Q338" s="994"/>
      <c r="R338" s="339"/>
      <c r="S338" s="339"/>
      <c r="T338" s="339"/>
      <c r="U338" s="339"/>
      <c r="V338" s="339"/>
      <c r="W338" s="339"/>
      <c r="X338" s="339"/>
      <c r="Y338" s="339"/>
      <c r="Z338" s="339"/>
      <c r="AA338" s="339"/>
      <c r="AB338" s="339"/>
      <c r="AC338" s="339"/>
      <c r="AD338" s="339"/>
      <c r="AE338" s="339"/>
      <c r="AF338" s="339"/>
      <c r="AG338" s="339"/>
      <c r="AH338" s="339"/>
      <c r="AI338" s="339"/>
      <c r="AJ338" s="339"/>
      <c r="AK338" s="339"/>
      <c r="AL338" s="339"/>
      <c r="AM338" s="339"/>
      <c r="AN338" s="341"/>
      <c r="AO338" s="341"/>
    </row>
    <row r="339" spans="1:41" s="342" customFormat="1" hidden="1">
      <c r="A339" s="382" t="s">
        <v>31</v>
      </c>
      <c r="B339" s="375" t="s">
        <v>99</v>
      </c>
      <c r="C339" s="376" t="s">
        <v>81</v>
      </c>
      <c r="D339" s="377">
        <f>'Pl 2016-20 PFC'!D346</f>
        <v>0</v>
      </c>
      <c r="E339" s="1355">
        <f>'Pl 2016-20 PFC'!E346</f>
        <v>0</v>
      </c>
      <c r="F339" s="1355">
        <f>'Pl 2016-20 PFC'!F346</f>
        <v>0</v>
      </c>
      <c r="G339" s="1355">
        <f>'Pl 2016-20 PFC'!G346</f>
        <v>0</v>
      </c>
      <c r="H339" s="1355">
        <f t="shared" si="16"/>
        <v>0</v>
      </c>
      <c r="I339" s="1355">
        <f>'Pl 2016-20 PFC'!H346</f>
        <v>0</v>
      </c>
      <c r="J339" s="1355">
        <f>'Pl 2016-20 PFC'!I346</f>
        <v>0</v>
      </c>
      <c r="K339" s="1355" t="e">
        <f>'Pl 2016-20 PFC'!#REF!</f>
        <v>#REF!</v>
      </c>
      <c r="L339" s="991"/>
      <c r="M339" s="994"/>
      <c r="N339" s="994"/>
      <c r="O339" s="994"/>
      <c r="P339" s="994"/>
      <c r="Q339" s="994"/>
      <c r="R339" s="339"/>
      <c r="S339" s="339"/>
      <c r="T339" s="339"/>
      <c r="U339" s="339"/>
      <c r="V339" s="339"/>
      <c r="W339" s="339"/>
      <c r="X339" s="339"/>
      <c r="Y339" s="339"/>
      <c r="Z339" s="339"/>
      <c r="AA339" s="339"/>
      <c r="AB339" s="339"/>
      <c r="AC339" s="339"/>
      <c r="AD339" s="339"/>
      <c r="AE339" s="339"/>
      <c r="AF339" s="339"/>
      <c r="AG339" s="339"/>
      <c r="AH339" s="339"/>
      <c r="AI339" s="339"/>
      <c r="AJ339" s="339"/>
      <c r="AK339" s="339"/>
      <c r="AL339" s="339"/>
      <c r="AM339" s="339"/>
      <c r="AN339" s="341"/>
      <c r="AO339" s="341"/>
    </row>
    <row r="340" spans="1:41" s="381" customFormat="1" hidden="1">
      <c r="A340" s="382" t="s">
        <v>35</v>
      </c>
      <c r="B340" s="375" t="s">
        <v>100</v>
      </c>
      <c r="C340" s="376" t="s">
        <v>81</v>
      </c>
      <c r="D340" s="377">
        <f>'Pl 2016-20 PFC'!D347</f>
        <v>-850585000</v>
      </c>
      <c r="E340" s="939">
        <f>'Pl 2016-20 PFC'!E347</f>
        <v>-884395000</v>
      </c>
      <c r="F340" s="939">
        <f>'Pl 2016-20 PFC'!F347</f>
        <v>-957455777.23000002</v>
      </c>
      <c r="G340" s="939">
        <f>'Pl 2016-20 PFC'!G347</f>
        <v>-915975000</v>
      </c>
      <c r="H340" s="939">
        <f t="shared" si="16"/>
        <v>41480777.230000019</v>
      </c>
      <c r="I340" s="939">
        <f>'Pl 2016-20 PFC'!H347</f>
        <v>0</v>
      </c>
      <c r="J340" s="939">
        <f>'Pl 2016-20 PFC'!I347</f>
        <v>-915975000</v>
      </c>
      <c r="K340" s="939" t="e">
        <f>'Pl 2016-20 PFC'!#REF!</f>
        <v>#REF!</v>
      </c>
      <c r="L340" s="991">
        <f t="shared" si="15"/>
        <v>103.57080263909226</v>
      </c>
      <c r="M340" s="994"/>
      <c r="N340" s="994"/>
      <c r="O340" s="994"/>
      <c r="P340" s="994"/>
      <c r="Q340" s="994"/>
      <c r="R340" s="378"/>
      <c r="S340" s="378"/>
      <c r="T340" s="378"/>
      <c r="U340" s="378"/>
      <c r="V340" s="378"/>
      <c r="W340" s="378"/>
      <c r="X340" s="378"/>
      <c r="Y340" s="378"/>
      <c r="Z340" s="378"/>
      <c r="AA340" s="378"/>
      <c r="AB340" s="378"/>
      <c r="AC340" s="378"/>
      <c r="AD340" s="378"/>
      <c r="AE340" s="378"/>
      <c r="AF340" s="378"/>
      <c r="AG340" s="378"/>
      <c r="AH340" s="378"/>
      <c r="AI340" s="378"/>
      <c r="AJ340" s="378"/>
      <c r="AK340" s="378"/>
      <c r="AL340" s="378"/>
      <c r="AM340" s="378"/>
      <c r="AN340" s="380"/>
      <c r="AO340" s="380"/>
    </row>
    <row r="341" spans="1:41" s="342" customFormat="1" hidden="1">
      <c r="A341" s="358" t="s">
        <v>38</v>
      </c>
      <c r="B341" s="344" t="s">
        <v>101</v>
      </c>
      <c r="C341" s="357" t="s">
        <v>81</v>
      </c>
      <c r="D341" s="346">
        <f>'Pl 2016-20 PFC'!D348</f>
        <v>-3300000</v>
      </c>
      <c r="E341" s="938">
        <f>'Pl 2016-20 PFC'!E348</f>
        <v>-3300000</v>
      </c>
      <c r="F341" s="938">
        <f>'Pl 2016-20 PFC'!F348</f>
        <v>-3800000</v>
      </c>
      <c r="G341" s="939">
        <f>'Pl 2016-20 PFC'!G348</f>
        <v>-3800000</v>
      </c>
      <c r="H341" s="939">
        <f t="shared" si="16"/>
        <v>0</v>
      </c>
      <c r="I341" s="938">
        <f>'Pl 2016-20 PFC'!H348</f>
        <v>0</v>
      </c>
      <c r="J341" s="938">
        <f>'Pl 2016-20 PFC'!I348</f>
        <v>-3800000</v>
      </c>
      <c r="K341" s="938" t="e">
        <f>'Pl 2016-20 PFC'!#REF!</f>
        <v>#REF!</v>
      </c>
      <c r="L341" s="991">
        <f t="shared" si="15"/>
        <v>115.15151515151516</v>
      </c>
      <c r="M341" s="994"/>
      <c r="N341" s="994"/>
      <c r="O341" s="994"/>
      <c r="P341" s="994"/>
      <c r="Q341" s="994"/>
      <c r="R341" s="339"/>
      <c r="S341" s="339"/>
      <c r="T341" s="339"/>
      <c r="U341" s="339"/>
      <c r="V341" s="339"/>
      <c r="W341" s="339"/>
      <c r="X341" s="339"/>
      <c r="Y341" s="339"/>
      <c r="Z341" s="339"/>
      <c r="AA341" s="339"/>
      <c r="AB341" s="339"/>
      <c r="AC341" s="339"/>
      <c r="AD341" s="339"/>
      <c r="AE341" s="339"/>
      <c r="AF341" s="339"/>
      <c r="AG341" s="339"/>
      <c r="AH341" s="339"/>
      <c r="AI341" s="339"/>
      <c r="AJ341" s="339"/>
      <c r="AK341" s="339"/>
      <c r="AL341" s="339"/>
      <c r="AM341" s="339"/>
      <c r="AN341" s="341"/>
      <c r="AO341" s="341"/>
    </row>
    <row r="342" spans="1:41" s="1577" customFormat="1" ht="16.2" thickBot="1">
      <c r="A342" s="1179"/>
      <c r="B342" s="1180"/>
      <c r="C342" s="1181"/>
      <c r="D342" s="1181"/>
      <c r="E342" s="1182"/>
      <c r="F342" s="1183"/>
      <c r="G342" s="1182"/>
      <c r="H342" s="1183"/>
      <c r="I342" s="1184"/>
      <c r="J342" s="1184"/>
      <c r="K342" s="1184"/>
      <c r="L342" s="1589"/>
      <c r="M342" s="1590"/>
      <c r="N342" s="1590"/>
      <c r="O342" s="1590"/>
      <c r="P342" s="1590"/>
      <c r="Q342" s="1590"/>
      <c r="R342" s="1575"/>
      <c r="S342" s="1575"/>
      <c r="T342" s="1575"/>
      <c r="U342" s="1575"/>
      <c r="V342" s="1575"/>
      <c r="W342" s="1575"/>
      <c r="X342" s="1575"/>
      <c r="Y342" s="1575"/>
      <c r="Z342" s="1575"/>
      <c r="AA342" s="1575"/>
      <c r="AB342" s="1575"/>
      <c r="AC342" s="1575"/>
      <c r="AD342" s="1575"/>
      <c r="AE342" s="1575"/>
      <c r="AF342" s="1575"/>
      <c r="AG342" s="1575"/>
      <c r="AH342" s="1575"/>
      <c r="AI342" s="1575"/>
      <c r="AJ342" s="1575"/>
      <c r="AK342" s="1575"/>
      <c r="AL342" s="1575"/>
      <c r="AM342" s="1575"/>
      <c r="AN342" s="1576"/>
      <c r="AO342" s="1576"/>
    </row>
    <row r="343" spans="1:41" ht="18.600000000000001" hidden="1" thickBot="1">
      <c r="A343" s="1071" t="s">
        <v>447</v>
      </c>
      <c r="B343" s="1186"/>
      <c r="C343" s="1187"/>
      <c r="D343" s="840">
        <f>D326-D327</f>
        <v>30585000</v>
      </c>
      <c r="E343" s="840">
        <f>E326-E327</f>
        <v>28955000</v>
      </c>
      <c r="F343" s="840">
        <f>F326+F327</f>
        <v>-207890472.69000006</v>
      </c>
      <c r="G343" s="840">
        <f>G326-G327</f>
        <v>0</v>
      </c>
      <c r="H343" s="840"/>
      <c r="I343" s="840">
        <f>I326-I327</f>
        <v>0</v>
      </c>
      <c r="J343" s="840">
        <f>J326-J327</f>
        <v>0</v>
      </c>
      <c r="K343" s="840" t="e">
        <f>K326-K327</f>
        <v>#REF!</v>
      </c>
      <c r="L343" s="985"/>
      <c r="M343" s="986"/>
      <c r="N343" s="986"/>
      <c r="O343" s="986"/>
      <c r="P343" s="986"/>
      <c r="Q343" s="986"/>
    </row>
    <row r="344" spans="1:41" ht="78.599999999999994" hidden="1" thickBot="1">
      <c r="A344" s="2237" t="s">
        <v>7</v>
      </c>
      <c r="B344" s="2238" t="s">
        <v>8</v>
      </c>
      <c r="C344" s="2239" t="s">
        <v>79</v>
      </c>
      <c r="D344" s="1188"/>
      <c r="E344" s="1189" t="str">
        <f>E66</f>
        <v>Przewidywane 
wykonanie 
w 2015</v>
      </c>
      <c r="F344" s="1189" t="str">
        <f>F66</f>
        <v>Projekt planu 
na 2016 r.</v>
      </c>
      <c r="G344" s="1189" t="str">
        <f>G66</f>
        <v>Plan  
na 2016 r.</v>
      </c>
      <c r="H344" s="1189"/>
      <c r="I344" s="1189" t="str">
        <f>I66</f>
        <v xml:space="preserve">Zmiany  </v>
      </c>
      <c r="J344" s="1189" t="str">
        <f>J66</f>
        <v xml:space="preserve">Plan wg. Ustawy Budżetowej zmieniony za zgodą MF z dnia 
28 kwietnia 2016 r. oraz 
opinią KFP z dnia 28 kwietnia 2016 r. </v>
      </c>
      <c r="K344" s="1189" t="e">
        <f>K66</f>
        <v>#REF!</v>
      </c>
      <c r="L344" s="987"/>
      <c r="M344" s="986"/>
      <c r="N344" s="986"/>
      <c r="O344" s="986"/>
      <c r="P344" s="986"/>
      <c r="Q344" s="986"/>
    </row>
    <row r="345" spans="1:41" ht="16.2" hidden="1" thickBot="1">
      <c r="A345" s="2237"/>
      <c r="B345" s="2238"/>
      <c r="C345" s="2239"/>
      <c r="D345" s="1582"/>
      <c r="E345" s="2236" t="str">
        <f>E67</f>
        <v>w tysiącach złotych</v>
      </c>
      <c r="F345" s="2236"/>
      <c r="G345" s="2236"/>
      <c r="H345" s="2236"/>
      <c r="I345" s="2236"/>
      <c r="J345" s="2236"/>
      <c r="K345" s="2236"/>
      <c r="L345" s="987"/>
      <c r="M345" s="986"/>
      <c r="N345" s="986"/>
      <c r="O345" s="986"/>
      <c r="P345" s="986"/>
      <c r="Q345" s="986"/>
    </row>
    <row r="346" spans="1:41" ht="16.2" hidden="1" thickBot="1">
      <c r="A346" s="1191">
        <v>1</v>
      </c>
      <c r="B346" s="1192">
        <v>2</v>
      </c>
      <c r="C346" s="1193"/>
      <c r="D346" s="1193"/>
      <c r="E346" s="1194">
        <v>3</v>
      </c>
      <c r="F346" s="1195">
        <v>4</v>
      </c>
      <c r="G346" s="1195">
        <v>4</v>
      </c>
      <c r="H346" s="1195"/>
      <c r="I346" s="1195">
        <v>5</v>
      </c>
      <c r="J346" s="1195">
        <v>6</v>
      </c>
      <c r="K346" s="1195">
        <v>7</v>
      </c>
      <c r="L346" s="987"/>
      <c r="M346" s="986"/>
      <c r="N346" s="986"/>
      <c r="O346" s="986"/>
      <c r="P346" s="986"/>
      <c r="Q346" s="986"/>
    </row>
    <row r="347" spans="1:41" s="388" customFormat="1" hidden="1">
      <c r="A347" s="1196" t="s">
        <v>515</v>
      </c>
      <c r="B347" s="1197" t="s">
        <v>305</v>
      </c>
      <c r="C347" s="1198" t="s">
        <v>81</v>
      </c>
      <c r="D347" s="1199">
        <f>SUM(D349,D357,D359,D361,D363)</f>
        <v>793591000</v>
      </c>
      <c r="E347" s="1200">
        <f>SUM(E349,E357,E359,E361,E363)</f>
        <v>4512538000</v>
      </c>
      <c r="F347" s="1200">
        <f>SUM(F349,F357,F359,F361,F363)</f>
        <v>4509226767</v>
      </c>
      <c r="G347" s="1200">
        <f>SUM(G349,G357,G359,G361,G363)</f>
        <v>4495757000</v>
      </c>
      <c r="H347" s="1200">
        <f t="shared" ref="H347:H410" si="17">F347-G347</f>
        <v>13469767</v>
      </c>
      <c r="I347" s="1200">
        <f>SUM(I349,I357,I359,I361,I363)</f>
        <v>0</v>
      </c>
      <c r="J347" s="1200">
        <f>SUM(J349,J357,J359,J361,J363)</f>
        <v>4495757000</v>
      </c>
      <c r="K347" s="1200" t="e">
        <f>SUM(K349,K357,K359,K361,K363)</f>
        <v>#REF!</v>
      </c>
      <c r="L347" s="1005"/>
      <c r="M347" s="1006"/>
      <c r="N347" s="1006"/>
      <c r="O347" s="1006"/>
      <c r="P347" s="1006"/>
      <c r="Q347" s="1006"/>
      <c r="R347" s="387"/>
      <c r="S347" s="387"/>
      <c r="T347" s="387"/>
      <c r="U347" s="387"/>
      <c r="V347" s="387"/>
      <c r="W347" s="387"/>
      <c r="X347" s="387"/>
      <c r="Y347" s="387"/>
      <c r="Z347" s="387"/>
      <c r="AA347" s="387"/>
      <c r="AB347" s="387"/>
      <c r="AC347" s="387"/>
      <c r="AD347" s="387"/>
      <c r="AE347" s="387"/>
      <c r="AF347" s="387"/>
      <c r="AG347" s="387"/>
      <c r="AH347" s="387"/>
      <c r="AI347" s="387"/>
      <c r="AJ347" s="387"/>
      <c r="AK347" s="387"/>
      <c r="AL347" s="387"/>
      <c r="AM347" s="387"/>
      <c r="AN347" s="387"/>
      <c r="AO347" s="387"/>
    </row>
    <row r="348" spans="1:41" s="391" customFormat="1" ht="10.199999999999999" hidden="1">
      <c r="A348" s="1204"/>
      <c r="B348" s="1205"/>
      <c r="C348" s="1206"/>
      <c r="D348" s="1207"/>
      <c r="E348" s="1208"/>
      <c r="F348" s="1209"/>
      <c r="G348" s="1209"/>
      <c r="H348" s="1209">
        <f t="shared" si="17"/>
        <v>0</v>
      </c>
      <c r="I348" s="1209"/>
      <c r="J348" s="1209"/>
      <c r="K348" s="1209"/>
      <c r="L348" s="1007"/>
      <c r="M348" s="1008"/>
      <c r="N348" s="1008"/>
      <c r="O348" s="1008"/>
      <c r="P348" s="1008"/>
      <c r="Q348" s="1008"/>
      <c r="R348" s="389"/>
      <c r="S348" s="389"/>
      <c r="T348" s="389"/>
      <c r="U348" s="389"/>
      <c r="V348" s="389"/>
      <c r="W348" s="389"/>
      <c r="X348" s="389"/>
      <c r="Y348" s="389"/>
      <c r="Z348" s="389"/>
      <c r="AA348" s="389"/>
      <c r="AB348" s="389"/>
      <c r="AC348" s="389"/>
      <c r="AD348" s="389"/>
      <c r="AE348" s="389"/>
      <c r="AF348" s="389"/>
      <c r="AG348" s="389"/>
      <c r="AH348" s="389"/>
      <c r="AI348" s="389"/>
      <c r="AJ348" s="389"/>
      <c r="AK348" s="389"/>
      <c r="AL348" s="389"/>
      <c r="AM348" s="389"/>
      <c r="AN348" s="390"/>
      <c r="AO348" s="390"/>
    </row>
    <row r="349" spans="1:41" s="393" customFormat="1" hidden="1">
      <c r="A349" s="779" t="s">
        <v>322</v>
      </c>
      <c r="B349" s="1214" t="s">
        <v>358</v>
      </c>
      <c r="C349" s="1215" t="s">
        <v>81</v>
      </c>
      <c r="D349" s="394">
        <f>'Pl 2016-20 PFC'!D353</f>
        <v>745360000</v>
      </c>
      <c r="E349" s="950">
        <f>'Pl 2016-20 PFC'!E353</f>
        <v>743360000</v>
      </c>
      <c r="F349" s="950">
        <f>'Pl 2016-20 PFC'!F353</f>
        <v>745360000</v>
      </c>
      <c r="G349" s="950">
        <f>'Pl 2016-20 PFC'!G353</f>
        <v>745360000</v>
      </c>
      <c r="H349" s="950">
        <f t="shared" si="17"/>
        <v>0</v>
      </c>
      <c r="I349" s="950">
        <f>'Pl 2016-20 PFC'!H353</f>
        <v>0</v>
      </c>
      <c r="J349" s="950">
        <f>'Pl 2016-20 PFC'!I353</f>
        <v>745360000</v>
      </c>
      <c r="K349" s="950" t="e">
        <f>'Pl 2016-20 PFC'!#REF!</f>
        <v>#REF!</v>
      </c>
      <c r="L349" s="1009"/>
      <c r="M349" s="1010"/>
      <c r="N349" s="1010"/>
      <c r="O349" s="1010"/>
      <c r="P349" s="1010"/>
      <c r="Q349" s="1010"/>
      <c r="R349" s="392"/>
      <c r="S349" s="392"/>
      <c r="T349" s="392"/>
      <c r="U349" s="392"/>
      <c r="V349" s="392"/>
      <c r="W349" s="392"/>
      <c r="X349" s="392"/>
      <c r="Y349" s="392"/>
      <c r="Z349" s="392"/>
      <c r="AA349" s="392"/>
      <c r="AB349" s="392"/>
      <c r="AC349" s="392"/>
      <c r="AD349" s="392"/>
      <c r="AE349" s="392"/>
      <c r="AF349" s="392"/>
      <c r="AG349" s="392"/>
      <c r="AH349" s="392"/>
      <c r="AI349" s="392"/>
      <c r="AJ349" s="392"/>
      <c r="AK349" s="392"/>
      <c r="AL349" s="392"/>
      <c r="AM349" s="392"/>
      <c r="AN349" s="392"/>
      <c r="AO349" s="392"/>
    </row>
    <row r="350" spans="1:41" s="393" customFormat="1" hidden="1">
      <c r="A350" s="1592" t="s">
        <v>16</v>
      </c>
      <c r="B350" s="1214" t="s">
        <v>359</v>
      </c>
      <c r="C350" s="1215" t="s">
        <v>108</v>
      </c>
      <c r="D350" s="394">
        <f>'Pl 2016-20 PFC'!D354</f>
        <v>0</v>
      </c>
      <c r="E350" s="950">
        <f>'Pl 2016-20 PFC'!E354</f>
        <v>0</v>
      </c>
      <c r="F350" s="950">
        <f>'Pl 2016-20 PFC'!F355+'Pl 2016-20 PFC'!F356</f>
        <v>745360000</v>
      </c>
      <c r="G350" s="950">
        <f>'Pl 2016-20 PFC'!G355+'Pl 2016-20 PFC'!G356</f>
        <v>745360000</v>
      </c>
      <c r="H350" s="950">
        <f t="shared" si="17"/>
        <v>0</v>
      </c>
      <c r="I350" s="950">
        <f>'Pl 2016-20 PFC'!H355+'Pl 2016-20 PFC'!H356</f>
        <v>0</v>
      </c>
      <c r="J350" s="950">
        <f>'Pl 2016-20 PFC'!I355+'Pl 2016-20 PFC'!I356</f>
        <v>745360000</v>
      </c>
      <c r="K350" s="950" t="e">
        <f>'Pl 2016-20 PFC'!#REF!+'Pl 2016-20 PFC'!#REF!</f>
        <v>#REF!</v>
      </c>
      <c r="L350" s="1009"/>
      <c r="M350" s="1010"/>
      <c r="N350" s="1010"/>
      <c r="O350" s="1010"/>
      <c r="P350" s="1010"/>
      <c r="Q350" s="1010"/>
      <c r="R350" s="392"/>
      <c r="S350" s="392"/>
      <c r="T350" s="392"/>
      <c r="U350" s="392"/>
      <c r="V350" s="392"/>
      <c r="W350" s="392"/>
      <c r="X350" s="392"/>
      <c r="Y350" s="392"/>
      <c r="Z350" s="392"/>
      <c r="AA350" s="392"/>
      <c r="AB350" s="392"/>
      <c r="AC350" s="392"/>
      <c r="AD350" s="392"/>
      <c r="AE350" s="392"/>
      <c r="AF350" s="392"/>
      <c r="AG350" s="392"/>
      <c r="AH350" s="392"/>
      <c r="AI350" s="392"/>
      <c r="AJ350" s="392"/>
      <c r="AK350" s="392"/>
      <c r="AL350" s="392"/>
      <c r="AM350" s="392"/>
      <c r="AN350" s="392"/>
      <c r="AO350" s="392"/>
    </row>
    <row r="351" spans="1:41" s="393" customFormat="1" ht="46.8" hidden="1">
      <c r="A351" s="1592" t="s">
        <v>17</v>
      </c>
      <c r="B351" s="1214" t="s">
        <v>360</v>
      </c>
      <c r="C351" s="1215" t="s">
        <v>108</v>
      </c>
      <c r="D351" s="394">
        <f>'Pl 2016-20 PFC'!D355</f>
        <v>30000000</v>
      </c>
      <c r="E351" s="950">
        <f>'Pl 2016-20 PFC'!E355</f>
        <v>28000000</v>
      </c>
      <c r="F351" s="950"/>
      <c r="G351" s="950"/>
      <c r="H351" s="950">
        <f t="shared" si="17"/>
        <v>0</v>
      </c>
      <c r="I351" s="950"/>
      <c r="J351" s="950"/>
      <c r="K351" s="950"/>
      <c r="L351" s="1009"/>
      <c r="M351" s="1010"/>
      <c r="N351" s="1010"/>
      <c r="O351" s="1010"/>
      <c r="P351" s="1010"/>
      <c r="Q351" s="1010"/>
      <c r="R351" s="392"/>
      <c r="S351" s="392"/>
      <c r="T351" s="392"/>
      <c r="U351" s="392"/>
      <c r="V351" s="392"/>
      <c r="W351" s="392"/>
      <c r="X351" s="392"/>
      <c r="Y351" s="392"/>
      <c r="Z351" s="392"/>
      <c r="AA351" s="392"/>
      <c r="AB351" s="392"/>
      <c r="AC351" s="392"/>
      <c r="AD351" s="392"/>
      <c r="AE351" s="392"/>
      <c r="AF351" s="392"/>
      <c r="AG351" s="392"/>
      <c r="AH351" s="392"/>
      <c r="AI351" s="392"/>
      <c r="AJ351" s="392"/>
      <c r="AK351" s="392"/>
      <c r="AL351" s="392"/>
      <c r="AM351" s="392"/>
      <c r="AN351" s="392"/>
      <c r="AO351" s="392"/>
    </row>
    <row r="352" spans="1:41" s="393" customFormat="1" hidden="1">
      <c r="A352" s="779" t="s">
        <v>306</v>
      </c>
      <c r="B352" s="1214" t="s">
        <v>110</v>
      </c>
      <c r="C352" s="1215" t="s">
        <v>108</v>
      </c>
      <c r="D352" s="394">
        <f>'Pl 2016-20 PFC'!D356</f>
        <v>715360000</v>
      </c>
      <c r="E352" s="950">
        <f>'Pl 2016-20 PFC'!E356</f>
        <v>715360000</v>
      </c>
      <c r="F352" s="950"/>
      <c r="G352" s="950"/>
      <c r="H352" s="950">
        <f t="shared" si="17"/>
        <v>0</v>
      </c>
      <c r="I352" s="950"/>
      <c r="J352" s="950"/>
      <c r="K352" s="950"/>
      <c r="L352" s="1009"/>
      <c r="M352" s="1010"/>
      <c r="N352" s="1010"/>
      <c r="O352" s="1010"/>
      <c r="P352" s="1010"/>
      <c r="Q352" s="1010"/>
      <c r="R352" s="392"/>
      <c r="S352" s="392"/>
      <c r="T352" s="392"/>
      <c r="U352" s="392"/>
      <c r="V352" s="392"/>
      <c r="W352" s="392"/>
      <c r="X352" s="392"/>
      <c r="Y352" s="392"/>
      <c r="Z352" s="392"/>
      <c r="AA352" s="392"/>
      <c r="AB352" s="392"/>
      <c r="AC352" s="392"/>
      <c r="AD352" s="392"/>
      <c r="AE352" s="392"/>
      <c r="AF352" s="392"/>
      <c r="AG352" s="392"/>
      <c r="AH352" s="392"/>
      <c r="AI352" s="392"/>
      <c r="AJ352" s="392"/>
      <c r="AK352" s="392"/>
      <c r="AL352" s="392"/>
      <c r="AM352" s="392"/>
      <c r="AN352" s="392"/>
      <c r="AO352" s="392"/>
    </row>
    <row r="353" spans="1:41" s="393" customFormat="1" hidden="1">
      <c r="A353" s="779"/>
      <c r="B353" s="1214"/>
      <c r="C353" s="1215"/>
      <c r="D353" s="394">
        <f>'Pl 2016-20 PFC'!D357</f>
        <v>0</v>
      </c>
      <c r="E353" s="950">
        <f>'Pl 2016-20 PFC'!E357</f>
        <v>0</v>
      </c>
      <c r="F353" s="950"/>
      <c r="G353" s="950"/>
      <c r="H353" s="950">
        <f t="shared" si="17"/>
        <v>0</v>
      </c>
      <c r="I353" s="950"/>
      <c r="J353" s="950"/>
      <c r="K353" s="950"/>
      <c r="L353" s="1009"/>
      <c r="M353" s="1010"/>
      <c r="N353" s="1010"/>
      <c r="O353" s="1010"/>
      <c r="P353" s="1010"/>
      <c r="Q353" s="1010"/>
      <c r="R353" s="392"/>
      <c r="S353" s="392"/>
      <c r="T353" s="392"/>
      <c r="U353" s="392"/>
      <c r="V353" s="392"/>
      <c r="W353" s="392"/>
      <c r="X353" s="392"/>
      <c r="Y353" s="392"/>
      <c r="Z353" s="392"/>
      <c r="AA353" s="392"/>
      <c r="AB353" s="392"/>
      <c r="AC353" s="392"/>
      <c r="AD353" s="392"/>
      <c r="AE353" s="392"/>
      <c r="AF353" s="392"/>
      <c r="AG353" s="392"/>
      <c r="AH353" s="392"/>
      <c r="AI353" s="392"/>
      <c r="AJ353" s="392"/>
      <c r="AK353" s="392"/>
      <c r="AL353" s="392"/>
      <c r="AM353" s="392"/>
      <c r="AN353" s="392"/>
      <c r="AO353" s="392"/>
    </row>
    <row r="354" spans="1:41" s="393" customFormat="1" hidden="1">
      <c r="A354" s="779" t="s">
        <v>16</v>
      </c>
      <c r="B354" s="1214" t="s">
        <v>359</v>
      </c>
      <c r="C354" s="1215" t="s">
        <v>108</v>
      </c>
      <c r="D354" s="394">
        <f>'Pl 2016-20 PFC'!D353</f>
        <v>745360000</v>
      </c>
      <c r="E354" s="950">
        <f>'Pl 2016-20 PFC'!E353</f>
        <v>743360000</v>
      </c>
      <c r="F354" s="950">
        <f>'Pl 2016-20 PFC'!F353</f>
        <v>745360000</v>
      </c>
      <c r="G354" s="950">
        <f>'Pl 2016-20 PFC'!G353</f>
        <v>745360000</v>
      </c>
      <c r="H354" s="950">
        <f t="shared" si="17"/>
        <v>0</v>
      </c>
      <c r="I354" s="950">
        <f>'Pl 2016-20 PFC'!H353</f>
        <v>0</v>
      </c>
      <c r="J354" s="950">
        <f>'Pl 2016-20 PFC'!I353</f>
        <v>745360000</v>
      </c>
      <c r="K354" s="950" t="e">
        <f>'Pl 2016-20 PFC'!#REF!</f>
        <v>#REF!</v>
      </c>
      <c r="L354" s="1009"/>
      <c r="M354" s="1010"/>
      <c r="N354" s="1010"/>
      <c r="O354" s="1010"/>
      <c r="P354" s="1010"/>
      <c r="Q354" s="1010"/>
      <c r="R354" s="392"/>
      <c r="S354" s="392"/>
      <c r="T354" s="392"/>
      <c r="U354" s="392"/>
      <c r="V354" s="392"/>
      <c r="W354" s="392"/>
      <c r="X354" s="392"/>
      <c r="Y354" s="392"/>
      <c r="Z354" s="392"/>
      <c r="AA354" s="392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</row>
    <row r="355" spans="1:41" s="393" customFormat="1" ht="31.2" hidden="1">
      <c r="A355" s="1218" t="s">
        <v>144</v>
      </c>
      <c r="B355" s="1214" t="s">
        <v>660</v>
      </c>
      <c r="C355" s="1219" t="s">
        <v>108</v>
      </c>
      <c r="D355" s="1220">
        <f>'Pl 2016-20 PFC'!D355</f>
        <v>30000000</v>
      </c>
      <c r="E355" s="1221">
        <f>'Pl 2016-20 PFC'!E355</f>
        <v>28000000</v>
      </c>
      <c r="F355" s="1221">
        <f>'Pl 2016-20 PFC'!F355</f>
        <v>28500000</v>
      </c>
      <c r="G355" s="1221">
        <f>'Pl 2016-20 PFC'!G355</f>
        <v>28500000</v>
      </c>
      <c r="H355" s="1221">
        <f t="shared" si="17"/>
        <v>0</v>
      </c>
      <c r="I355" s="1221">
        <f>'Pl 2016-20 PFC'!H355</f>
        <v>0</v>
      </c>
      <c r="J355" s="1221">
        <f>'Pl 2016-20 PFC'!I355</f>
        <v>28500000</v>
      </c>
      <c r="K355" s="1221" t="e">
        <f>'Pl 2016-20 PFC'!#REF!</f>
        <v>#REF!</v>
      </c>
      <c r="L355" s="1009"/>
      <c r="M355" s="1010"/>
      <c r="N355" s="1010"/>
      <c r="O355" s="1010"/>
      <c r="P355" s="1010"/>
      <c r="Q355" s="1010"/>
      <c r="R355" s="392"/>
      <c r="S355" s="392"/>
      <c r="T355" s="392"/>
      <c r="U355" s="392"/>
      <c r="V355" s="392"/>
      <c r="W355" s="392"/>
      <c r="X355" s="392"/>
      <c r="Y355" s="392"/>
      <c r="Z355" s="392"/>
      <c r="AA355" s="392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</row>
    <row r="356" spans="1:41" s="393" customFormat="1" hidden="1">
      <c r="A356" s="779" t="s">
        <v>147</v>
      </c>
      <c r="B356" s="1214" t="s">
        <v>659</v>
      </c>
      <c r="C356" s="1215" t="s">
        <v>108</v>
      </c>
      <c r="D356" s="394">
        <f>'Pl 2016-20 PFC'!D356</f>
        <v>715360000</v>
      </c>
      <c r="E356" s="950">
        <f>'Pl 2016-20 PFC'!E356</f>
        <v>715360000</v>
      </c>
      <c r="F356" s="950">
        <f>'Pl 2016-20 PFC'!F356</f>
        <v>716860000</v>
      </c>
      <c r="G356" s="950">
        <f>'Pl 2016-20 PFC'!G356</f>
        <v>716860000</v>
      </c>
      <c r="H356" s="950">
        <f t="shared" si="17"/>
        <v>0</v>
      </c>
      <c r="I356" s="950">
        <f>'Pl 2016-20 PFC'!H356</f>
        <v>0</v>
      </c>
      <c r="J356" s="950">
        <f>'Pl 2016-20 PFC'!I356</f>
        <v>716860000</v>
      </c>
      <c r="K356" s="950" t="e">
        <f>'Pl 2016-20 PFC'!#REF!</f>
        <v>#REF!</v>
      </c>
      <c r="L356" s="1009"/>
      <c r="M356" s="1010"/>
      <c r="N356" s="1010"/>
      <c r="O356" s="1010"/>
      <c r="P356" s="1010"/>
      <c r="Q356" s="1010"/>
      <c r="R356" s="392"/>
      <c r="S356" s="392"/>
      <c r="T356" s="392"/>
      <c r="U356" s="392"/>
      <c r="V356" s="392"/>
      <c r="W356" s="392"/>
      <c r="X356" s="392"/>
      <c r="Y356" s="392"/>
      <c r="Z356" s="392"/>
      <c r="AA356" s="392"/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</row>
    <row r="357" spans="1:41" s="393" customFormat="1" hidden="1">
      <c r="A357" s="1218" t="s">
        <v>638</v>
      </c>
      <c r="B357" s="1214" t="s">
        <v>111</v>
      </c>
      <c r="C357" s="1215" t="s">
        <v>107</v>
      </c>
      <c r="D357" s="394">
        <f>'Pl 2016-20 PFC'!D359</f>
        <v>46900000</v>
      </c>
      <c r="E357" s="950">
        <f>'Pl 2016-20 PFC'!E359</f>
        <v>46900000</v>
      </c>
      <c r="F357" s="950">
        <f>'Pl 2016-20 PFC'!F359</f>
        <v>14167000</v>
      </c>
      <c r="G357" s="1593">
        <f>'Pl 2016-20 PFC'!G359</f>
        <v>0</v>
      </c>
      <c r="H357" s="1593">
        <f t="shared" si="17"/>
        <v>14167000</v>
      </c>
      <c r="I357" s="1593">
        <f>'Pl 2016-20 PFC'!H359</f>
        <v>0</v>
      </c>
      <c r="J357" s="1593">
        <f>'Pl 2016-20 PFC'!I359</f>
        <v>0</v>
      </c>
      <c r="K357" s="1593" t="e">
        <f>'Pl 2016-20 PFC'!#REF!</f>
        <v>#REF!</v>
      </c>
      <c r="L357" s="1009"/>
      <c r="M357" s="1010"/>
      <c r="N357" s="1010"/>
      <c r="O357" s="1010"/>
      <c r="P357" s="1010"/>
      <c r="Q357" s="1010"/>
      <c r="R357" s="392"/>
      <c r="S357" s="392"/>
      <c r="T357" s="392"/>
      <c r="U357" s="392"/>
      <c r="V357" s="392"/>
      <c r="W357" s="392"/>
      <c r="X357" s="392"/>
      <c r="Y357" s="392"/>
      <c r="Z357" s="392"/>
      <c r="AA357" s="392"/>
      <c r="AB357" s="392"/>
      <c r="AC357" s="392"/>
      <c r="AD357" s="392"/>
      <c r="AE357" s="392"/>
      <c r="AF357" s="392"/>
      <c r="AG357" s="392"/>
      <c r="AH357" s="392"/>
      <c r="AI357" s="392"/>
      <c r="AJ357" s="392"/>
      <c r="AK357" s="392"/>
      <c r="AL357" s="392"/>
      <c r="AM357" s="392"/>
      <c r="AN357" s="392"/>
      <c r="AO357" s="392"/>
    </row>
    <row r="358" spans="1:41" s="393" customFormat="1" hidden="1">
      <c r="A358" s="1218"/>
      <c r="B358" s="1214"/>
      <c r="C358" s="1215"/>
      <c r="D358" s="394"/>
      <c r="E358" s="950"/>
      <c r="F358" s="950"/>
      <c r="G358" s="950"/>
      <c r="H358" s="950">
        <f t="shared" si="17"/>
        <v>0</v>
      </c>
      <c r="I358" s="950"/>
      <c r="J358" s="950"/>
      <c r="K358" s="950"/>
      <c r="L358" s="1009"/>
      <c r="M358" s="1010"/>
      <c r="N358" s="1010"/>
      <c r="O358" s="1010"/>
      <c r="P358" s="1010"/>
      <c r="Q358" s="1010"/>
      <c r="R358" s="392"/>
      <c r="S358" s="392"/>
      <c r="T358" s="392"/>
      <c r="U358" s="392"/>
      <c r="V358" s="392"/>
      <c r="W358" s="392"/>
      <c r="X358" s="392"/>
      <c r="Y358" s="392"/>
      <c r="Z358" s="392"/>
      <c r="AA358" s="392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</row>
    <row r="359" spans="1:41" s="393" customFormat="1" hidden="1">
      <c r="A359" s="779" t="s">
        <v>639</v>
      </c>
      <c r="B359" s="1214" t="s">
        <v>361</v>
      </c>
      <c r="C359" s="1215" t="s">
        <v>113</v>
      </c>
      <c r="D359" s="394">
        <f>'Pl 2016-20 PFC'!D361</f>
        <v>0</v>
      </c>
      <c r="E359" s="950">
        <f>'Pl 2016-20 PFC'!E361</f>
        <v>3548374000</v>
      </c>
      <c r="F359" s="950">
        <f>'Pl 2016-20 PFC'!F361</f>
        <v>3575412767</v>
      </c>
      <c r="G359" s="950">
        <f>'Pl 2016-20 PFC'!G361</f>
        <v>3575413000</v>
      </c>
      <c r="H359" s="950">
        <f t="shared" si="17"/>
        <v>-233</v>
      </c>
      <c r="I359" s="950">
        <f>'Pl 2016-20 PFC'!H361</f>
        <v>0</v>
      </c>
      <c r="J359" s="950">
        <f>'Pl 2016-20 PFC'!I361</f>
        <v>3575413000</v>
      </c>
      <c r="K359" s="950" t="e">
        <f>'Pl 2016-20 PFC'!#REF!</f>
        <v>#REF!</v>
      </c>
      <c r="L359" s="1009"/>
      <c r="M359" s="1010"/>
      <c r="N359" s="1010"/>
      <c r="O359" s="1010"/>
      <c r="P359" s="1010"/>
      <c r="Q359" s="1010"/>
      <c r="R359" s="392"/>
      <c r="S359" s="392"/>
      <c r="T359" s="392"/>
      <c r="U359" s="392"/>
      <c r="V359" s="392"/>
      <c r="W359" s="392"/>
      <c r="X359" s="392"/>
      <c r="Y359" s="392"/>
      <c r="Z359" s="392"/>
      <c r="AA359" s="392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</row>
    <row r="360" spans="1:41" s="393" customFormat="1" hidden="1">
      <c r="A360" s="779"/>
      <c r="B360" s="1214"/>
      <c r="C360" s="1215"/>
      <c r="D360" s="394"/>
      <c r="E360" s="950"/>
      <c r="F360" s="950"/>
      <c r="G360" s="950"/>
      <c r="H360" s="950">
        <f t="shared" si="17"/>
        <v>0</v>
      </c>
      <c r="I360" s="950"/>
      <c r="J360" s="950"/>
      <c r="K360" s="950"/>
      <c r="L360" s="1009"/>
      <c r="M360" s="1010"/>
      <c r="N360" s="1010"/>
      <c r="O360" s="1010"/>
      <c r="P360" s="1010"/>
      <c r="Q360" s="1010"/>
      <c r="R360" s="392"/>
      <c r="S360" s="392"/>
      <c r="T360" s="392"/>
      <c r="U360" s="392"/>
      <c r="V360" s="392"/>
      <c r="W360" s="392"/>
      <c r="X360" s="392"/>
      <c r="Y360" s="392"/>
      <c r="Z360" s="392"/>
      <c r="AA360" s="392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</row>
    <row r="361" spans="1:41" s="393" customFormat="1" hidden="1">
      <c r="A361" s="779" t="s">
        <v>640</v>
      </c>
      <c r="B361" s="1214" t="s">
        <v>362</v>
      </c>
      <c r="C361" s="1215" t="s">
        <v>115</v>
      </c>
      <c r="D361" s="394">
        <f>'Pl 2016-20 PFC'!D363</f>
        <v>1331000</v>
      </c>
      <c r="E361" s="950">
        <f>'Pl 2016-20 PFC'!E363</f>
        <v>2104000</v>
      </c>
      <c r="F361" s="950">
        <f>'Pl 2016-20 PFC'!F363</f>
        <v>2155000</v>
      </c>
      <c r="G361" s="950">
        <f>'Pl 2016-20 PFC'!G363</f>
        <v>2155000</v>
      </c>
      <c r="H361" s="950">
        <f t="shared" si="17"/>
        <v>0</v>
      </c>
      <c r="I361" s="950">
        <f>'Pl 2016-20 PFC'!H363</f>
        <v>0</v>
      </c>
      <c r="J361" s="950">
        <f>'Pl 2016-20 PFC'!I363</f>
        <v>2155000</v>
      </c>
      <c r="K361" s="950" t="e">
        <f>'Pl 2016-20 PFC'!#REF!</f>
        <v>#REF!</v>
      </c>
      <c r="L361" s="1009"/>
      <c r="M361" s="1010"/>
      <c r="N361" s="1010"/>
      <c r="O361" s="1010"/>
      <c r="P361" s="1010"/>
      <c r="Q361" s="1010"/>
      <c r="R361" s="392"/>
      <c r="S361" s="392"/>
      <c r="T361" s="392"/>
      <c r="U361" s="392"/>
      <c r="V361" s="392"/>
      <c r="W361" s="392"/>
      <c r="X361" s="392"/>
      <c r="Y361" s="392"/>
      <c r="Z361" s="392"/>
      <c r="AA361" s="392"/>
      <c r="AB361" s="392"/>
      <c r="AC361" s="392"/>
      <c r="AD361" s="392"/>
      <c r="AE361" s="392"/>
      <c r="AF361" s="392"/>
      <c r="AG361" s="392"/>
      <c r="AH361" s="392"/>
      <c r="AI361" s="392"/>
      <c r="AJ361" s="392"/>
      <c r="AK361" s="392"/>
      <c r="AL361" s="392"/>
      <c r="AM361" s="392"/>
      <c r="AN361" s="392"/>
      <c r="AO361" s="392"/>
    </row>
    <row r="362" spans="1:41" s="393" customFormat="1" hidden="1">
      <c r="A362" s="779"/>
      <c r="B362" s="1214"/>
      <c r="C362" s="1223"/>
      <c r="D362" s="1594"/>
      <c r="E362" s="1595"/>
      <c r="F362" s="1595"/>
      <c r="G362" s="1595"/>
      <c r="H362" s="1595">
        <f t="shared" si="17"/>
        <v>0</v>
      </c>
      <c r="I362" s="1595"/>
      <c r="J362" s="1595"/>
      <c r="K362" s="1595"/>
      <c r="L362" s="1009"/>
      <c r="M362" s="1010"/>
      <c r="N362" s="1010"/>
      <c r="O362" s="1010"/>
      <c r="P362" s="1010"/>
      <c r="Q362" s="1010"/>
      <c r="R362" s="392"/>
      <c r="S362" s="392"/>
      <c r="T362" s="392"/>
      <c r="U362" s="392"/>
      <c r="V362" s="392"/>
      <c r="W362" s="392"/>
      <c r="X362" s="392"/>
      <c r="Y362" s="392"/>
      <c r="Z362" s="392"/>
      <c r="AA362" s="392"/>
      <c r="AB362" s="392"/>
      <c r="AC362" s="392"/>
      <c r="AD362" s="392"/>
      <c r="AE362" s="392"/>
      <c r="AF362" s="392"/>
      <c r="AG362" s="392"/>
      <c r="AH362" s="392"/>
      <c r="AI362" s="392"/>
      <c r="AJ362" s="392"/>
      <c r="AK362" s="392"/>
      <c r="AL362" s="392"/>
      <c r="AM362" s="392"/>
      <c r="AN362" s="392"/>
      <c r="AO362" s="392"/>
    </row>
    <row r="363" spans="1:41" s="393" customFormat="1" hidden="1">
      <c r="A363" s="779" t="s">
        <v>349</v>
      </c>
      <c r="B363" s="1214" t="s">
        <v>448</v>
      </c>
      <c r="C363" s="1223" t="s">
        <v>81</v>
      </c>
      <c r="D363" s="394">
        <f>'Pl 2016-20 PFC'!D365</f>
        <v>0</v>
      </c>
      <c r="E363" s="950">
        <f>'Pl 2016-20 PFC'!E365</f>
        <v>171800000</v>
      </c>
      <c r="F363" s="950">
        <f>'Pl 2016-20 PFC'!F365</f>
        <v>172132000</v>
      </c>
      <c r="G363" s="950">
        <f>'Pl 2016-20 PFC'!G365</f>
        <v>172829000</v>
      </c>
      <c r="H363" s="950">
        <f t="shared" si="17"/>
        <v>-697000</v>
      </c>
      <c r="I363" s="950">
        <f>'Pl 2016-20 PFC'!H365</f>
        <v>0</v>
      </c>
      <c r="J363" s="950">
        <f>'Pl 2016-20 PFC'!I365</f>
        <v>172829000</v>
      </c>
      <c r="K363" s="950" t="e">
        <f>'Pl 2016-20 PFC'!#REF!</f>
        <v>#REF!</v>
      </c>
      <c r="L363" s="1009"/>
      <c r="M363" s="1010"/>
      <c r="N363" s="1010"/>
      <c r="O363" s="1010"/>
      <c r="P363" s="1010"/>
      <c r="Q363" s="1010"/>
      <c r="R363" s="392"/>
      <c r="S363" s="392"/>
      <c r="T363" s="392"/>
      <c r="U363" s="392"/>
      <c r="V363" s="392"/>
      <c r="W363" s="392"/>
      <c r="X363" s="392"/>
      <c r="Y363" s="392"/>
      <c r="Z363" s="392"/>
      <c r="AA363" s="392"/>
      <c r="AB363" s="392"/>
      <c r="AC363" s="392"/>
      <c r="AD363" s="392"/>
      <c r="AE363" s="392"/>
      <c r="AF363" s="392"/>
      <c r="AG363" s="392"/>
      <c r="AH363" s="392"/>
      <c r="AI363" s="392"/>
      <c r="AJ363" s="392"/>
      <c r="AK363" s="392"/>
      <c r="AL363" s="392"/>
      <c r="AM363" s="392"/>
      <c r="AN363" s="392"/>
      <c r="AO363" s="392"/>
    </row>
    <row r="364" spans="1:41" s="395" customFormat="1" ht="14.4" hidden="1">
      <c r="A364" s="1596" t="s">
        <v>27</v>
      </c>
      <c r="B364" s="1597" t="s">
        <v>118</v>
      </c>
      <c r="C364" s="1215" t="s">
        <v>119</v>
      </c>
      <c r="D364" s="394">
        <f>'Pl 2016-20 PFC'!D366</f>
        <v>0</v>
      </c>
      <c r="E364" s="950">
        <f>'Pl 2016-20 PFC'!E366</f>
        <v>0</v>
      </c>
      <c r="F364" s="950">
        <f>'Pl 2016-20 PFC'!F366</f>
        <v>0</v>
      </c>
      <c r="G364" s="950">
        <f>'Pl 2016-20 PFC'!G366</f>
        <v>0</v>
      </c>
      <c r="H364" s="950">
        <f t="shared" si="17"/>
        <v>0</v>
      </c>
      <c r="I364" s="950">
        <f>'Pl 2016-20 PFC'!H366</f>
        <v>0</v>
      </c>
      <c r="J364" s="950">
        <f>'Pl 2016-20 PFC'!I366</f>
        <v>0</v>
      </c>
      <c r="K364" s="950" t="e">
        <f>'Pl 2016-20 PFC'!#REF!</f>
        <v>#REF!</v>
      </c>
      <c r="L364" s="1011"/>
      <c r="M364" s="1012"/>
      <c r="N364" s="1012"/>
      <c r="O364" s="1012"/>
      <c r="P364" s="1012"/>
      <c r="Q364" s="1012"/>
    </row>
    <row r="365" spans="1:41" s="395" customFormat="1" ht="14.4" hidden="1">
      <c r="A365" s="1596" t="s">
        <v>28</v>
      </c>
      <c r="B365" s="1597" t="s">
        <v>120</v>
      </c>
      <c r="C365" s="1215" t="s">
        <v>121</v>
      </c>
      <c r="D365" s="394">
        <f>'Pl 2016-20 PFC'!D369</f>
        <v>0</v>
      </c>
      <c r="E365" s="950">
        <f>'Pl 2016-20 PFC'!E369</f>
        <v>125000</v>
      </c>
      <c r="F365" s="950">
        <f>'Pl 2016-20 PFC'!F369</f>
        <v>65000</v>
      </c>
      <c r="G365" s="950">
        <f>'Pl 2016-20 PFC'!G369</f>
        <v>65000</v>
      </c>
      <c r="H365" s="950">
        <f t="shared" si="17"/>
        <v>0</v>
      </c>
      <c r="I365" s="950">
        <f>'Pl 2016-20 PFC'!H369</f>
        <v>0</v>
      </c>
      <c r="J365" s="950">
        <f>'Pl 2016-20 PFC'!I369</f>
        <v>65000</v>
      </c>
      <c r="K365" s="950" t="e">
        <f>'Pl 2016-20 PFC'!#REF!</f>
        <v>#REF!</v>
      </c>
      <c r="L365" s="1011"/>
      <c r="M365" s="1012"/>
      <c r="N365" s="1012"/>
      <c r="O365" s="1012"/>
      <c r="P365" s="1012"/>
      <c r="Q365" s="1012"/>
    </row>
    <row r="366" spans="1:41" s="395" customFormat="1" ht="14.4" hidden="1">
      <c r="A366" s="1596" t="s">
        <v>122</v>
      </c>
      <c r="B366" s="1597" t="s">
        <v>123</v>
      </c>
      <c r="C366" s="1215" t="s">
        <v>124</v>
      </c>
      <c r="D366" s="394">
        <f>'Pl 2016-20 PFC'!D370</f>
        <v>0</v>
      </c>
      <c r="E366" s="950">
        <f>'Pl 2016-20 PFC'!E370</f>
        <v>0</v>
      </c>
      <c r="F366" s="950">
        <f>'Pl 2016-20 PFC'!F370</f>
        <v>0</v>
      </c>
      <c r="G366" s="950">
        <f>'Pl 2016-20 PFC'!G370</f>
        <v>0</v>
      </c>
      <c r="H366" s="950">
        <f t="shared" si="17"/>
        <v>0</v>
      </c>
      <c r="I366" s="950">
        <f>'Pl 2016-20 PFC'!H370</f>
        <v>0</v>
      </c>
      <c r="J366" s="950">
        <f>'Pl 2016-20 PFC'!I370</f>
        <v>0</v>
      </c>
      <c r="K366" s="950" t="e">
        <f>'Pl 2016-20 PFC'!#REF!</f>
        <v>#REF!</v>
      </c>
      <c r="L366" s="1011"/>
      <c r="M366" s="1012"/>
      <c r="N366" s="1012"/>
      <c r="O366" s="1012"/>
      <c r="P366" s="1012"/>
      <c r="Q366" s="1012"/>
    </row>
    <row r="367" spans="1:41" s="395" customFormat="1" hidden="1">
      <c r="A367" s="779" t="s">
        <v>27</v>
      </c>
      <c r="B367" s="1224" t="s">
        <v>364</v>
      </c>
      <c r="C367" s="1215" t="s">
        <v>127</v>
      </c>
      <c r="D367" s="394">
        <f>'Pl 2016-20 PFC'!D371</f>
        <v>0</v>
      </c>
      <c r="E367" s="950">
        <f>'Pl 2016-20 PFC'!E371</f>
        <v>37483000</v>
      </c>
      <c r="F367" s="950">
        <f>'Pl 2016-20 PFC'!F371</f>
        <v>45825200</v>
      </c>
      <c r="G367" s="950">
        <f>'Pl 2016-20 PFC'!G371</f>
        <v>46522000</v>
      </c>
      <c r="H367" s="950">
        <f t="shared" si="17"/>
        <v>-696800</v>
      </c>
      <c r="I367" s="950">
        <f>'Pl 2016-20 PFC'!H371</f>
        <v>0</v>
      </c>
      <c r="J367" s="950">
        <f>'Pl 2016-20 PFC'!I371</f>
        <v>46522000</v>
      </c>
      <c r="K367" s="950" t="e">
        <f>'Pl 2016-20 PFC'!#REF!</f>
        <v>#REF!</v>
      </c>
      <c r="L367" s="1011"/>
      <c r="M367" s="1012"/>
      <c r="N367" s="1012"/>
      <c r="O367" s="1012"/>
      <c r="P367" s="1012"/>
      <c r="Q367" s="1012"/>
    </row>
    <row r="368" spans="1:41" s="395" customFormat="1" ht="14.4" hidden="1">
      <c r="A368" s="1596" t="s">
        <v>128</v>
      </c>
      <c r="B368" s="1597" t="s">
        <v>129</v>
      </c>
      <c r="C368" s="1215" t="s">
        <v>130</v>
      </c>
      <c r="D368" s="394">
        <f>'Pl 2016-20 PFC'!D372</f>
        <v>0</v>
      </c>
      <c r="E368" s="950">
        <f>'Pl 2016-20 PFC'!E372</f>
        <v>134192000</v>
      </c>
      <c r="F368" s="950">
        <f>'Pl 2016-20 PFC'!F372</f>
        <v>126241800</v>
      </c>
      <c r="G368" s="950">
        <f>'Pl 2016-20 PFC'!G372</f>
        <v>126242000</v>
      </c>
      <c r="H368" s="950">
        <f t="shared" si="17"/>
        <v>-200</v>
      </c>
      <c r="I368" s="950">
        <f>'Pl 2016-20 PFC'!H372</f>
        <v>0</v>
      </c>
      <c r="J368" s="950">
        <f>'Pl 2016-20 PFC'!I372</f>
        <v>126242000</v>
      </c>
      <c r="K368" s="950" t="e">
        <f>'Pl 2016-20 PFC'!#REF!</f>
        <v>#REF!</v>
      </c>
      <c r="L368" s="1011"/>
      <c r="M368" s="1012"/>
      <c r="N368" s="1012"/>
      <c r="O368" s="1012"/>
      <c r="P368" s="1012"/>
      <c r="Q368" s="1012"/>
    </row>
    <row r="369" spans="1:41" s="395" customFormat="1" ht="14.4" hidden="1">
      <c r="A369" s="1596" t="s">
        <v>128</v>
      </c>
      <c r="B369" s="1597" t="s">
        <v>132</v>
      </c>
      <c r="C369" s="1215" t="s">
        <v>133</v>
      </c>
      <c r="D369" s="394">
        <f>'Pl 2016-20 PFC'!D373</f>
        <v>0</v>
      </c>
      <c r="E369" s="950">
        <f>'Pl 2016-20 PFC'!E373</f>
        <v>0</v>
      </c>
      <c r="F369" s="950">
        <f>'Pl 2016-20 PFC'!F373</f>
        <v>0</v>
      </c>
      <c r="G369" s="950">
        <f>'Pl 2016-20 PFC'!G373</f>
        <v>0</v>
      </c>
      <c r="H369" s="950">
        <f t="shared" si="17"/>
        <v>0</v>
      </c>
      <c r="I369" s="950">
        <f>'Pl 2016-20 PFC'!H373</f>
        <v>0</v>
      </c>
      <c r="J369" s="950">
        <f>'Pl 2016-20 PFC'!I373</f>
        <v>0</v>
      </c>
      <c r="K369" s="950" t="e">
        <f>'Pl 2016-20 PFC'!#REF!</f>
        <v>#REF!</v>
      </c>
      <c r="L369" s="1011"/>
      <c r="M369" s="1012"/>
      <c r="N369" s="1012"/>
      <c r="O369" s="1012"/>
      <c r="P369" s="1012"/>
      <c r="Q369" s="1012"/>
    </row>
    <row r="370" spans="1:41" s="395" customFormat="1" ht="14.4" hidden="1">
      <c r="A370" s="1596" t="s">
        <v>131</v>
      </c>
      <c r="B370" s="1597" t="s">
        <v>135</v>
      </c>
      <c r="C370" s="1215" t="s">
        <v>365</v>
      </c>
      <c r="D370" s="394">
        <f>'Pl 2016-20 PFC'!D374</f>
        <v>0</v>
      </c>
      <c r="E370" s="950">
        <f>'Pl 2016-20 PFC'!E374</f>
        <v>0</v>
      </c>
      <c r="F370" s="950">
        <f>'Pl 2016-20 PFC'!F374</f>
        <v>0</v>
      </c>
      <c r="G370" s="950">
        <f>'Pl 2016-20 PFC'!G374</f>
        <v>0</v>
      </c>
      <c r="H370" s="950">
        <f t="shared" si="17"/>
        <v>0</v>
      </c>
      <c r="I370" s="950">
        <f>'Pl 2016-20 PFC'!H374</f>
        <v>0</v>
      </c>
      <c r="J370" s="950">
        <f>'Pl 2016-20 PFC'!I374</f>
        <v>0</v>
      </c>
      <c r="K370" s="950" t="e">
        <f>'Pl 2016-20 PFC'!#REF!</f>
        <v>#REF!</v>
      </c>
      <c r="L370" s="1011"/>
      <c r="M370" s="1012"/>
      <c r="N370" s="1012"/>
      <c r="O370" s="1012"/>
      <c r="P370" s="1012"/>
      <c r="Q370" s="1012"/>
    </row>
    <row r="371" spans="1:41" s="395" customFormat="1" ht="14.4" hidden="1">
      <c r="A371" s="1596" t="s">
        <v>134</v>
      </c>
      <c r="B371" s="1597" t="s">
        <v>138</v>
      </c>
      <c r="C371" s="1215" t="s">
        <v>139</v>
      </c>
      <c r="D371" s="394">
        <f>'Pl 2016-20 PFC'!D375</f>
        <v>0</v>
      </c>
      <c r="E371" s="950">
        <f>'Pl 2016-20 PFC'!E375</f>
        <v>0</v>
      </c>
      <c r="F371" s="950">
        <f>'Pl 2016-20 PFC'!F375</f>
        <v>0</v>
      </c>
      <c r="G371" s="950">
        <f>'Pl 2016-20 PFC'!G375</f>
        <v>0</v>
      </c>
      <c r="H371" s="950">
        <f t="shared" si="17"/>
        <v>0</v>
      </c>
      <c r="I371" s="950">
        <f>'Pl 2016-20 PFC'!H375</f>
        <v>0</v>
      </c>
      <c r="J371" s="950">
        <f>'Pl 2016-20 PFC'!I375</f>
        <v>0</v>
      </c>
      <c r="K371" s="950" t="e">
        <f>'Pl 2016-20 PFC'!#REF!</f>
        <v>#REF!</v>
      </c>
      <c r="L371" s="1011"/>
      <c r="M371" s="1012"/>
      <c r="N371" s="1012"/>
      <c r="O371" s="1012"/>
      <c r="P371" s="1012"/>
      <c r="Q371" s="1012"/>
    </row>
    <row r="372" spans="1:41" s="389" customFormat="1" ht="10.199999999999999" hidden="1">
      <c r="A372" s="1226"/>
      <c r="B372" s="1227"/>
      <c r="C372" s="1228"/>
      <c r="D372" s="1229"/>
      <c r="E372" s="1230"/>
      <c r="F372" s="1230"/>
      <c r="G372" s="1230"/>
      <c r="H372" s="1230">
        <f t="shared" si="17"/>
        <v>0</v>
      </c>
      <c r="I372" s="1230"/>
      <c r="J372" s="1230"/>
      <c r="K372" s="1230"/>
      <c r="L372" s="1007"/>
      <c r="M372" s="1008"/>
      <c r="N372" s="1008"/>
      <c r="O372" s="1008"/>
      <c r="P372" s="1008"/>
      <c r="Q372" s="1008"/>
    </row>
    <row r="373" spans="1:41" s="388" customFormat="1" hidden="1">
      <c r="A373" s="1196" t="s">
        <v>589</v>
      </c>
      <c r="B373" s="1197" t="s">
        <v>308</v>
      </c>
      <c r="C373" s="1198" t="s">
        <v>81</v>
      </c>
      <c r="D373" s="1199">
        <f>SUM(D375,D435,D454,D480,D525,D573,D583)</f>
        <v>4592957000</v>
      </c>
      <c r="E373" s="1200">
        <f>SUM(E375,E435,E454,E480,E525,E573,E583)</f>
        <v>4508698000</v>
      </c>
      <c r="F373" s="1200">
        <f>SUM(F375,F435,F454,F480,F525,F573,F583)</f>
        <v>4838252226</v>
      </c>
      <c r="G373" s="1200" t="e">
        <f>SUM(G375,G435,G454,G480,G525,G573,G583)</f>
        <v>#REF!</v>
      </c>
      <c r="H373" s="1200" t="e">
        <f t="shared" si="17"/>
        <v>#REF!</v>
      </c>
      <c r="I373" s="1200">
        <f>SUM(I375,I435,I454,I480,I525,I573,I583)</f>
        <v>0</v>
      </c>
      <c r="J373" s="1200">
        <f>SUM(J375,J435,J454,J480,J525,J573,J583)</f>
        <v>4626988000</v>
      </c>
      <c r="K373" s="1200" t="e">
        <f>SUM(K375,K435,K454,K480,K525,K573,K583)</f>
        <v>#REF!</v>
      </c>
      <c r="L373" s="1005"/>
      <c r="M373" s="1006"/>
      <c r="N373" s="1006"/>
      <c r="O373" s="1006"/>
      <c r="P373" s="1006"/>
      <c r="Q373" s="1006"/>
      <c r="R373" s="387"/>
      <c r="S373" s="387"/>
      <c r="T373" s="387"/>
      <c r="U373" s="387"/>
      <c r="V373" s="387"/>
      <c r="W373" s="387"/>
      <c r="X373" s="387"/>
      <c r="Y373" s="387"/>
      <c r="Z373" s="387"/>
      <c r="AA373" s="387"/>
      <c r="AB373" s="387"/>
      <c r="AC373" s="387"/>
      <c r="AD373" s="387"/>
      <c r="AE373" s="387"/>
      <c r="AF373" s="387"/>
      <c r="AG373" s="387"/>
      <c r="AH373" s="387"/>
      <c r="AI373" s="387"/>
      <c r="AJ373" s="387"/>
      <c r="AK373" s="387"/>
      <c r="AL373" s="387"/>
      <c r="AM373" s="387"/>
      <c r="AN373" s="387"/>
      <c r="AO373" s="387"/>
    </row>
    <row r="374" spans="1:41" s="396" customFormat="1" ht="10.199999999999999" hidden="1">
      <c r="A374" s="1232"/>
      <c r="B374" s="1233"/>
      <c r="C374" s="1234"/>
      <c r="D374" s="1235"/>
      <c r="E374" s="1236"/>
      <c r="F374" s="1236"/>
      <c r="G374" s="1236"/>
      <c r="H374" s="1236">
        <f t="shared" si="17"/>
        <v>0</v>
      </c>
      <c r="I374" s="1236"/>
      <c r="J374" s="1236"/>
      <c r="K374" s="1236"/>
      <c r="L374" s="1007"/>
      <c r="M374" s="1008"/>
      <c r="N374" s="1008"/>
      <c r="O374" s="1008"/>
      <c r="P374" s="1008"/>
      <c r="Q374" s="1008"/>
      <c r="R374" s="389"/>
      <c r="S374" s="389"/>
      <c r="T374" s="389"/>
      <c r="U374" s="389"/>
      <c r="V374" s="389"/>
      <c r="W374" s="389"/>
      <c r="X374" s="389"/>
      <c r="Y374" s="389"/>
      <c r="Z374" s="389"/>
      <c r="AA374" s="389"/>
      <c r="AB374" s="389"/>
      <c r="AC374" s="389"/>
      <c r="AD374" s="389"/>
      <c r="AE374" s="389"/>
      <c r="AF374" s="389"/>
      <c r="AG374" s="389"/>
      <c r="AH374" s="389"/>
      <c r="AI374" s="389"/>
      <c r="AJ374" s="389"/>
      <c r="AK374" s="389"/>
      <c r="AL374" s="389"/>
      <c r="AM374" s="389"/>
      <c r="AN374" s="389"/>
      <c r="AO374" s="389"/>
    </row>
    <row r="375" spans="1:41" s="393" customFormat="1" hidden="1">
      <c r="A375" s="779" t="s">
        <v>322</v>
      </c>
      <c r="B375" s="1214" t="s">
        <v>142</v>
      </c>
      <c r="C375" s="1215" t="s">
        <v>81</v>
      </c>
      <c r="D375" s="394">
        <f>'Pl 2016-20 PFC'!D379</f>
        <v>3415986000</v>
      </c>
      <c r="E375" s="950">
        <f>'Pl 2016-20 PFC'!E379</f>
        <v>3407669000</v>
      </c>
      <c r="F375" s="950">
        <f>'Pl 2016-20 PFC'!F379</f>
        <v>3577080000</v>
      </c>
      <c r="G375" s="950">
        <f>'Pl 2016-20 PFC'!G379</f>
        <v>3416895000</v>
      </c>
      <c r="H375" s="950">
        <f t="shared" si="17"/>
        <v>160185000</v>
      </c>
      <c r="I375" s="950">
        <f>'Pl 2016-20 PFC'!H379</f>
        <v>0</v>
      </c>
      <c r="J375" s="950">
        <f>'Pl 2016-20 PFC'!I379</f>
        <v>3416895000</v>
      </c>
      <c r="K375" s="950" t="e">
        <f>'Pl 2016-20 PFC'!#REF!</f>
        <v>#REF!</v>
      </c>
      <c r="L375" s="1009"/>
      <c r="M375" s="1010"/>
      <c r="N375" s="1010"/>
      <c r="O375" s="1010"/>
      <c r="P375" s="1010"/>
      <c r="Q375" s="1010"/>
      <c r="R375" s="392"/>
      <c r="S375" s="392"/>
      <c r="T375" s="392"/>
      <c r="U375" s="392"/>
      <c r="V375" s="392"/>
      <c r="W375" s="392"/>
      <c r="X375" s="392"/>
      <c r="Y375" s="392"/>
      <c r="Z375" s="392"/>
      <c r="AA375" s="392"/>
      <c r="AB375" s="392"/>
      <c r="AC375" s="392"/>
      <c r="AD375" s="392"/>
      <c r="AE375" s="392"/>
      <c r="AF375" s="392"/>
      <c r="AG375" s="392"/>
      <c r="AH375" s="392"/>
      <c r="AI375" s="392"/>
      <c r="AJ375" s="392"/>
      <c r="AK375" s="392"/>
      <c r="AL375" s="392"/>
      <c r="AM375" s="392"/>
      <c r="AN375" s="392"/>
      <c r="AO375" s="392"/>
    </row>
    <row r="376" spans="1:41" s="397" customFormat="1" hidden="1">
      <c r="A376" s="779" t="s">
        <v>16</v>
      </c>
      <c r="B376" s="1214" t="s">
        <v>367</v>
      </c>
      <c r="C376" s="1215" t="s">
        <v>81</v>
      </c>
      <c r="D376" s="394">
        <f>'Pl 2016-20 PFC'!D380</f>
        <v>151853000</v>
      </c>
      <c r="E376" s="950">
        <f>'Pl 2016-20 PFC'!E380</f>
        <v>144536000</v>
      </c>
      <c r="F376" s="950">
        <f>'Pl 2016-20 PFC'!F380</f>
        <v>159140000</v>
      </c>
      <c r="G376" s="950">
        <f>'Pl 2016-20 PFC'!G380</f>
        <v>110992000</v>
      </c>
      <c r="H376" s="950">
        <f t="shared" si="17"/>
        <v>48148000</v>
      </c>
      <c r="I376" s="950">
        <f>'Pl 2016-20 PFC'!H380</f>
        <v>0</v>
      </c>
      <c r="J376" s="950">
        <f>'Pl 2016-20 PFC'!I380</f>
        <v>110992000</v>
      </c>
      <c r="K376" s="950" t="e">
        <f>'Pl 2016-20 PFC'!#REF!</f>
        <v>#REF!</v>
      </c>
      <c r="L376" s="1013"/>
      <c r="M376" s="1014"/>
      <c r="N376" s="1014"/>
      <c r="O376" s="1014"/>
      <c r="P376" s="1014"/>
      <c r="Q376" s="1014"/>
      <c r="R376" s="347"/>
      <c r="S376" s="347"/>
      <c r="T376" s="347"/>
      <c r="U376" s="347"/>
      <c r="V376" s="347"/>
      <c r="W376" s="347"/>
      <c r="X376" s="347"/>
      <c r="Y376" s="347"/>
      <c r="Z376" s="347"/>
      <c r="AA376" s="347"/>
      <c r="AB376" s="347"/>
      <c r="AC376" s="347"/>
      <c r="AD376" s="347"/>
      <c r="AE376" s="347"/>
      <c r="AF376" s="347"/>
      <c r="AG376" s="347"/>
      <c r="AH376" s="347"/>
      <c r="AI376" s="347"/>
      <c r="AJ376" s="347"/>
      <c r="AK376" s="347"/>
      <c r="AL376" s="347"/>
      <c r="AM376" s="347"/>
      <c r="AN376" s="347"/>
      <c r="AO376" s="347"/>
    </row>
    <row r="377" spans="1:41" s="397" customFormat="1" hidden="1">
      <c r="A377" s="779" t="s">
        <v>144</v>
      </c>
      <c r="B377" s="1214" t="s">
        <v>145</v>
      </c>
      <c r="C377" s="1215" t="s">
        <v>146</v>
      </c>
      <c r="D377" s="394">
        <f>'Pl 2016-20 PFC'!D381</f>
        <v>144653000</v>
      </c>
      <c r="E377" s="950">
        <f>'Pl 2016-20 PFC'!E381</f>
        <v>139545000</v>
      </c>
      <c r="F377" s="950">
        <f>'Pl 2016-20 PFC'!F381</f>
        <v>159140000</v>
      </c>
      <c r="G377" s="950">
        <f>'Pl 2016-20 PFC'!G381</f>
        <v>110992000</v>
      </c>
      <c r="H377" s="950">
        <f t="shared" si="17"/>
        <v>48148000</v>
      </c>
      <c r="I377" s="950">
        <f>'Pl 2016-20 PFC'!H381</f>
        <v>0</v>
      </c>
      <c r="J377" s="950">
        <f>'Pl 2016-20 PFC'!I381</f>
        <v>110992000</v>
      </c>
      <c r="K377" s="950" t="e">
        <f>'Pl 2016-20 PFC'!#REF!</f>
        <v>#REF!</v>
      </c>
      <c r="L377" s="1013"/>
      <c r="M377" s="1015"/>
      <c r="N377" s="1014"/>
      <c r="O377" s="1014"/>
      <c r="P377" s="1014"/>
      <c r="Q377" s="1014"/>
      <c r="R377" s="347"/>
      <c r="S377" s="347"/>
      <c r="T377" s="347"/>
      <c r="U377" s="347"/>
      <c r="V377" s="347"/>
      <c r="W377" s="347"/>
      <c r="X377" s="347"/>
      <c r="Y377" s="347"/>
      <c r="Z377" s="347"/>
      <c r="AA377" s="347"/>
      <c r="AB377" s="347"/>
      <c r="AC377" s="347"/>
      <c r="AD377" s="347"/>
      <c r="AE377" s="347"/>
      <c r="AF377" s="347"/>
      <c r="AG377" s="347"/>
      <c r="AH377" s="347"/>
      <c r="AI377" s="347"/>
      <c r="AJ377" s="347"/>
      <c r="AK377" s="347"/>
      <c r="AL377" s="347"/>
      <c r="AM377" s="347"/>
      <c r="AN377" s="347"/>
      <c r="AO377" s="347"/>
    </row>
    <row r="378" spans="1:41" s="397" customFormat="1" hidden="1">
      <c r="A378" s="779" t="s">
        <v>147</v>
      </c>
      <c r="B378" s="1214" t="s">
        <v>148</v>
      </c>
      <c r="C378" s="1215" t="s">
        <v>149</v>
      </c>
      <c r="D378" s="394">
        <f>'Pl 2016-20 PFC'!D382</f>
        <v>7200000</v>
      </c>
      <c r="E378" s="950">
        <f>'Pl 2016-20 PFC'!E382</f>
        <v>4991000</v>
      </c>
      <c r="F378" s="950">
        <f>'Pl 2016-20 PFC'!F382</f>
        <v>0</v>
      </c>
      <c r="G378" s="1593">
        <f>'Pl 2016-20 PFC'!G382</f>
        <v>0</v>
      </c>
      <c r="H378" s="1593">
        <f t="shared" si="17"/>
        <v>0</v>
      </c>
      <c r="I378" s="1593">
        <f>'Pl 2016-20 PFC'!H382</f>
        <v>0</v>
      </c>
      <c r="J378" s="1593">
        <f>'Pl 2016-20 PFC'!I382</f>
        <v>0</v>
      </c>
      <c r="K378" s="1593" t="e">
        <f>'Pl 2016-20 PFC'!#REF!</f>
        <v>#REF!</v>
      </c>
      <c r="L378" s="1013"/>
      <c r="M378" s="1014"/>
      <c r="N378" s="1014"/>
      <c r="O378" s="1014"/>
      <c r="P378" s="1014"/>
      <c r="Q378" s="1014"/>
      <c r="R378" s="347"/>
      <c r="S378" s="347"/>
      <c r="T378" s="347"/>
      <c r="U378" s="347"/>
      <c r="V378" s="347"/>
      <c r="W378" s="347"/>
      <c r="X378" s="347"/>
      <c r="Y378" s="347"/>
      <c r="Z378" s="347"/>
      <c r="AA378" s="347"/>
      <c r="AB378" s="347"/>
      <c r="AC378" s="347"/>
      <c r="AD378" s="347"/>
      <c r="AE378" s="347"/>
      <c r="AF378" s="347"/>
      <c r="AG378" s="347"/>
      <c r="AH378" s="347"/>
      <c r="AI378" s="347"/>
      <c r="AJ378" s="347"/>
      <c r="AK378" s="347"/>
      <c r="AL378" s="347"/>
      <c r="AM378" s="347"/>
      <c r="AN378" s="347"/>
      <c r="AO378" s="347"/>
    </row>
    <row r="379" spans="1:41" s="397" customFormat="1" hidden="1">
      <c r="A379" s="779"/>
      <c r="B379" s="1214" t="s">
        <v>370</v>
      </c>
      <c r="C379" s="1215" t="s">
        <v>149</v>
      </c>
      <c r="D379" s="394">
        <f>'Pl 2016-20 PFC'!D383</f>
        <v>7200000</v>
      </c>
      <c r="E379" s="950">
        <f>'Pl 2016-20 PFC'!E383</f>
        <v>4991000</v>
      </c>
      <c r="F379" s="950">
        <f>'Pl 2016-20 PFC'!F383</f>
        <v>0</v>
      </c>
      <c r="G379" s="950">
        <f>'Pl 2016-20 PFC'!G383</f>
        <v>0</v>
      </c>
      <c r="H379" s="950">
        <f t="shared" si="17"/>
        <v>0</v>
      </c>
      <c r="I379" s="950">
        <f>'Pl 2016-20 PFC'!H383</f>
        <v>0</v>
      </c>
      <c r="J379" s="950">
        <f>'Pl 2016-20 PFC'!I383</f>
        <v>0</v>
      </c>
      <c r="K379" s="950" t="e">
        <f>'Pl 2016-20 PFC'!#REF!</f>
        <v>#REF!</v>
      </c>
      <c r="L379" s="1013"/>
      <c r="M379" s="1014"/>
      <c r="N379" s="1014"/>
      <c r="O379" s="1014"/>
      <c r="P379" s="1014"/>
      <c r="Q379" s="1014"/>
      <c r="R379" s="347"/>
      <c r="S379" s="347"/>
      <c r="T379" s="347"/>
      <c r="U379" s="347"/>
      <c r="V379" s="347"/>
      <c r="W379" s="347"/>
      <c r="X379" s="347"/>
      <c r="Y379" s="347"/>
      <c r="Z379" s="347"/>
      <c r="AA379" s="347"/>
      <c r="AB379" s="347"/>
      <c r="AC379" s="347"/>
      <c r="AD379" s="347"/>
      <c r="AE379" s="347"/>
      <c r="AF379" s="347"/>
      <c r="AG379" s="347"/>
      <c r="AH379" s="347"/>
      <c r="AI379" s="347"/>
      <c r="AJ379" s="347"/>
      <c r="AK379" s="347"/>
      <c r="AL379" s="347"/>
      <c r="AM379" s="347"/>
      <c r="AN379" s="347"/>
      <c r="AO379" s="347"/>
    </row>
    <row r="380" spans="1:41" s="397" customFormat="1" hidden="1">
      <c r="A380" s="779"/>
      <c r="B380" s="1214" t="s">
        <v>371</v>
      </c>
      <c r="C380" s="1215" t="s">
        <v>146</v>
      </c>
      <c r="D380" s="394">
        <f>'Pl 2016-20 PFC'!D384</f>
        <v>184000</v>
      </c>
      <c r="E380" s="950">
        <f>'Pl 2016-20 PFC'!E384</f>
        <v>184000</v>
      </c>
      <c r="F380" s="950">
        <f>'Pl 2016-20 PFC'!F384</f>
        <v>4500000</v>
      </c>
      <c r="G380" s="950">
        <f>'Pl 2016-20 PFC'!G384</f>
        <v>2500000</v>
      </c>
      <c r="H380" s="950">
        <f t="shared" si="17"/>
        <v>2000000</v>
      </c>
      <c r="I380" s="950">
        <f>'Pl 2016-20 PFC'!H384</f>
        <v>0</v>
      </c>
      <c r="J380" s="950">
        <f>'Pl 2016-20 PFC'!I384</f>
        <v>2500000</v>
      </c>
      <c r="K380" s="950" t="e">
        <f>'Pl 2016-20 PFC'!#REF!</f>
        <v>#REF!</v>
      </c>
      <c r="L380" s="1013"/>
      <c r="M380" s="1014"/>
      <c r="N380" s="1014"/>
      <c r="O380" s="1014"/>
      <c r="P380" s="1014"/>
      <c r="Q380" s="1014"/>
      <c r="R380" s="347"/>
      <c r="S380" s="347"/>
      <c r="T380" s="347"/>
      <c r="U380" s="347"/>
      <c r="V380" s="347"/>
      <c r="W380" s="347"/>
      <c r="X380" s="347"/>
      <c r="Y380" s="347"/>
      <c r="Z380" s="347"/>
      <c r="AA380" s="347"/>
      <c r="AB380" s="347"/>
      <c r="AC380" s="347"/>
      <c r="AD380" s="347"/>
      <c r="AE380" s="347"/>
      <c r="AF380" s="347"/>
      <c r="AG380" s="347"/>
      <c r="AH380" s="347"/>
      <c r="AI380" s="347"/>
      <c r="AJ380" s="347"/>
      <c r="AK380" s="347"/>
      <c r="AL380" s="347"/>
      <c r="AM380" s="347"/>
      <c r="AN380" s="347"/>
      <c r="AO380" s="347"/>
    </row>
    <row r="381" spans="1:41" s="397" customFormat="1" ht="46.8" hidden="1">
      <c r="A381" s="779"/>
      <c r="B381" s="1214" t="s">
        <v>372</v>
      </c>
      <c r="C381" s="1215" t="s">
        <v>146</v>
      </c>
      <c r="D381" s="394">
        <f>'Pl 2016-20 PFC'!D385</f>
        <v>60000000</v>
      </c>
      <c r="E381" s="950">
        <f>'Pl 2016-20 PFC'!E385</f>
        <v>56000000</v>
      </c>
      <c r="F381" s="950">
        <f>'Pl 2016-20 PFC'!F385</f>
        <v>57000000</v>
      </c>
      <c r="G381" s="950">
        <f>'Pl 2016-20 PFC'!G385</f>
        <v>57000000</v>
      </c>
      <c r="H381" s="950">
        <f t="shared" si="17"/>
        <v>0</v>
      </c>
      <c r="I381" s="950">
        <f>'Pl 2016-20 PFC'!H385</f>
        <v>0</v>
      </c>
      <c r="J381" s="950">
        <f>'Pl 2016-20 PFC'!I385</f>
        <v>57000000</v>
      </c>
      <c r="K381" s="950" t="e">
        <f>'Pl 2016-20 PFC'!#REF!</f>
        <v>#REF!</v>
      </c>
      <c r="L381" s="1013"/>
      <c r="M381" s="1014"/>
      <c r="N381" s="1014"/>
      <c r="O381" s="1014"/>
      <c r="P381" s="1014"/>
      <c r="Q381" s="1014"/>
      <c r="R381" s="347"/>
      <c r="S381" s="347"/>
      <c r="T381" s="347"/>
      <c r="U381" s="347"/>
      <c r="V381" s="347"/>
      <c r="W381" s="347"/>
      <c r="X381" s="347"/>
      <c r="Y381" s="347"/>
      <c r="Z381" s="347"/>
      <c r="AA381" s="347"/>
      <c r="AB381" s="347"/>
      <c r="AC381" s="347"/>
      <c r="AD381" s="347"/>
      <c r="AE381" s="347"/>
      <c r="AF381" s="347"/>
      <c r="AG381" s="347"/>
      <c r="AH381" s="347"/>
      <c r="AI381" s="347"/>
      <c r="AJ381" s="347"/>
      <c r="AK381" s="347"/>
      <c r="AL381" s="347"/>
      <c r="AM381" s="347"/>
      <c r="AN381" s="347"/>
      <c r="AO381" s="347"/>
    </row>
    <row r="382" spans="1:41" s="393" customFormat="1" hidden="1">
      <c r="A382" s="779"/>
      <c r="B382" s="1214" t="s">
        <v>373</v>
      </c>
      <c r="C382" s="1215" t="s">
        <v>146</v>
      </c>
      <c r="D382" s="394">
        <f>'Pl 2016-20 PFC'!D386</f>
        <v>1000000</v>
      </c>
      <c r="E382" s="950">
        <f>'Pl 2016-20 PFC'!E386</f>
        <v>782000</v>
      </c>
      <c r="F382" s="950">
        <f>'Pl 2016-20 PFC'!F386</f>
        <v>1720000</v>
      </c>
      <c r="G382" s="950">
        <f>'Pl 2016-20 PFC'!G386</f>
        <v>1220000</v>
      </c>
      <c r="H382" s="950">
        <f t="shared" si="17"/>
        <v>500000</v>
      </c>
      <c r="I382" s="950">
        <f>'Pl 2016-20 PFC'!H386</f>
        <v>0</v>
      </c>
      <c r="J382" s="950">
        <f>'Pl 2016-20 PFC'!I386</f>
        <v>1220000</v>
      </c>
      <c r="K382" s="950" t="e">
        <f>'Pl 2016-20 PFC'!#REF!</f>
        <v>#REF!</v>
      </c>
      <c r="L382" s="1009"/>
      <c r="M382" s="1010"/>
      <c r="N382" s="1010"/>
      <c r="O382" s="1010"/>
      <c r="P382" s="1010"/>
      <c r="Q382" s="1010"/>
      <c r="R382" s="392"/>
      <c r="S382" s="392"/>
      <c r="T382" s="392"/>
      <c r="U382" s="392"/>
      <c r="V382" s="392"/>
      <c r="W382" s="392"/>
      <c r="X382" s="392"/>
      <c r="Y382" s="392"/>
      <c r="Z382" s="392"/>
      <c r="AA382" s="392"/>
      <c r="AB382" s="392"/>
      <c r="AC382" s="392"/>
      <c r="AD382" s="392"/>
      <c r="AE382" s="392"/>
      <c r="AF382" s="392"/>
      <c r="AG382" s="392"/>
      <c r="AH382" s="392"/>
      <c r="AI382" s="392"/>
      <c r="AJ382" s="392"/>
      <c r="AK382" s="392"/>
      <c r="AL382" s="392"/>
      <c r="AM382" s="392"/>
      <c r="AN382" s="392"/>
      <c r="AO382" s="392"/>
    </row>
    <row r="383" spans="1:41" s="393" customFormat="1" hidden="1">
      <c r="A383" s="779"/>
      <c r="B383" s="1214" t="s">
        <v>374</v>
      </c>
      <c r="C383" s="1215" t="s">
        <v>146</v>
      </c>
      <c r="D383" s="394">
        <f>'Pl 2016-20 PFC'!D387</f>
        <v>550000</v>
      </c>
      <c r="E383" s="950">
        <f>'Pl 2016-20 PFC'!E387</f>
        <v>200000</v>
      </c>
      <c r="F383" s="950">
        <f>'Pl 2016-20 PFC'!F387</f>
        <v>400000</v>
      </c>
      <c r="G383" s="950">
        <f>'Pl 2016-20 PFC'!G387</f>
        <v>400000</v>
      </c>
      <c r="H383" s="950">
        <f t="shared" si="17"/>
        <v>0</v>
      </c>
      <c r="I383" s="950">
        <f>'Pl 2016-20 PFC'!H387</f>
        <v>0</v>
      </c>
      <c r="J383" s="950">
        <f>'Pl 2016-20 PFC'!I387</f>
        <v>400000</v>
      </c>
      <c r="K383" s="950" t="e">
        <f>'Pl 2016-20 PFC'!#REF!</f>
        <v>#REF!</v>
      </c>
      <c r="L383" s="1009"/>
      <c r="M383" s="1010"/>
      <c r="N383" s="1010"/>
      <c r="O383" s="1010"/>
      <c r="P383" s="1010"/>
      <c r="Q383" s="1010"/>
      <c r="R383" s="392"/>
      <c r="S383" s="392"/>
      <c r="T383" s="392"/>
      <c r="U383" s="392"/>
      <c r="V383" s="392"/>
      <c r="W383" s="392"/>
      <c r="X383" s="392"/>
      <c r="Y383" s="392"/>
      <c r="Z383" s="392"/>
      <c r="AA383" s="392"/>
      <c r="AB383" s="392"/>
      <c r="AC383" s="392"/>
      <c r="AD383" s="392"/>
      <c r="AE383" s="392"/>
      <c r="AF383" s="392"/>
      <c r="AG383" s="392"/>
      <c r="AH383" s="392"/>
      <c r="AI383" s="392"/>
      <c r="AJ383" s="392"/>
      <c r="AK383" s="392"/>
      <c r="AL383" s="392"/>
      <c r="AM383" s="392"/>
      <c r="AN383" s="392"/>
      <c r="AO383" s="392"/>
    </row>
    <row r="384" spans="1:41" s="393" customFormat="1" ht="31.2" hidden="1">
      <c r="A384" s="779"/>
      <c r="B384" s="1214" t="s">
        <v>375</v>
      </c>
      <c r="C384" s="1215" t="s">
        <v>146</v>
      </c>
      <c r="D384" s="394">
        <f>'Pl 2016-20 PFC'!D388</f>
        <v>82919000</v>
      </c>
      <c r="E384" s="950">
        <f>'Pl 2016-20 PFC'!E388</f>
        <v>82379000</v>
      </c>
      <c r="F384" s="950">
        <f>'Pl 2016-20 PFC'!F388</f>
        <v>95520000</v>
      </c>
      <c r="G384" s="950">
        <f>'Pl 2016-20 PFC'!G388</f>
        <v>49872000</v>
      </c>
      <c r="H384" s="950">
        <f t="shared" si="17"/>
        <v>45648000</v>
      </c>
      <c r="I384" s="950">
        <f>'Pl 2016-20 PFC'!H388</f>
        <v>0</v>
      </c>
      <c r="J384" s="950">
        <f>'Pl 2016-20 PFC'!I388</f>
        <v>49872000</v>
      </c>
      <c r="K384" s="950" t="e">
        <f>'Pl 2016-20 PFC'!#REF!</f>
        <v>#REF!</v>
      </c>
      <c r="L384" s="1009"/>
      <c r="M384" s="1010"/>
      <c r="N384" s="1010"/>
      <c r="O384" s="1010"/>
      <c r="P384" s="1010"/>
      <c r="Q384" s="1010"/>
      <c r="R384" s="392"/>
      <c r="S384" s="392"/>
      <c r="T384" s="392"/>
      <c r="U384" s="392"/>
      <c r="V384" s="392"/>
      <c r="W384" s="392"/>
      <c r="X384" s="392"/>
      <c r="Y384" s="392"/>
      <c r="Z384" s="392"/>
      <c r="AA384" s="392"/>
      <c r="AB384" s="392"/>
      <c r="AC384" s="392"/>
      <c r="AD384" s="392"/>
      <c r="AE384" s="392"/>
      <c r="AF384" s="392"/>
      <c r="AG384" s="392"/>
      <c r="AH384" s="392"/>
      <c r="AI384" s="392"/>
      <c r="AJ384" s="392"/>
      <c r="AK384" s="392"/>
      <c r="AL384" s="392"/>
      <c r="AM384" s="392"/>
      <c r="AN384" s="392"/>
      <c r="AO384" s="392"/>
    </row>
    <row r="385" spans="1:41" s="393" customFormat="1" hidden="1">
      <c r="A385" s="779"/>
      <c r="B385" s="1214" t="s">
        <v>279</v>
      </c>
      <c r="C385" s="1215"/>
      <c r="D385" s="394">
        <f>'Pl 2016-20 PFC'!D389</f>
        <v>0</v>
      </c>
      <c r="E385" s="950">
        <f>'Pl 2016-20 PFC'!E389</f>
        <v>0</v>
      </c>
      <c r="F385" s="950">
        <f>'Pl 2016-20 PFC'!F389</f>
        <v>0</v>
      </c>
      <c r="G385" s="950">
        <f>'Pl 2016-20 PFC'!G389</f>
        <v>0</v>
      </c>
      <c r="H385" s="950">
        <f t="shared" si="17"/>
        <v>0</v>
      </c>
      <c r="I385" s="950">
        <f>'Pl 2016-20 PFC'!H389</f>
        <v>0</v>
      </c>
      <c r="J385" s="950">
        <f>'Pl 2016-20 PFC'!I389</f>
        <v>0</v>
      </c>
      <c r="K385" s="950" t="e">
        <f>'Pl 2016-20 PFC'!#REF!</f>
        <v>#REF!</v>
      </c>
      <c r="L385" s="1009"/>
      <c r="M385" s="1010"/>
      <c r="N385" s="1010"/>
      <c r="O385" s="1010"/>
      <c r="P385" s="1010"/>
      <c r="Q385" s="1010"/>
      <c r="R385" s="392"/>
      <c r="S385" s="392"/>
      <c r="T385" s="392"/>
      <c r="U385" s="392"/>
      <c r="V385" s="392"/>
      <c r="W385" s="392"/>
      <c r="X385" s="392"/>
      <c r="Y385" s="392"/>
      <c r="Z385" s="392"/>
      <c r="AA385" s="392"/>
      <c r="AB385" s="392"/>
      <c r="AC385" s="392"/>
      <c r="AD385" s="392"/>
      <c r="AE385" s="392"/>
      <c r="AF385" s="392"/>
      <c r="AG385" s="392"/>
      <c r="AH385" s="392"/>
      <c r="AI385" s="392"/>
      <c r="AJ385" s="392"/>
      <c r="AK385" s="392"/>
      <c r="AL385" s="392"/>
      <c r="AM385" s="392"/>
      <c r="AN385" s="392"/>
      <c r="AO385" s="392"/>
    </row>
    <row r="386" spans="1:41" s="393" customFormat="1" hidden="1">
      <c r="A386" s="779"/>
      <c r="B386" s="1214" t="s">
        <v>151</v>
      </c>
      <c r="C386" s="1215"/>
      <c r="D386" s="394">
        <f>'Pl 2016-20 PFC'!D390</f>
        <v>5718000</v>
      </c>
      <c r="E386" s="950">
        <f>'Pl 2016-20 PFC'!E390</f>
        <v>5178000</v>
      </c>
      <c r="F386" s="950">
        <f>'Pl 2016-20 PFC'!F390</f>
        <v>0</v>
      </c>
      <c r="G386" s="950">
        <f>'Pl 2016-20 PFC'!G390</f>
        <v>0</v>
      </c>
      <c r="H386" s="950">
        <f t="shared" si="17"/>
        <v>0</v>
      </c>
      <c r="I386" s="950">
        <f>'Pl 2016-20 PFC'!H390</f>
        <v>0</v>
      </c>
      <c r="J386" s="950">
        <f>'Pl 2016-20 PFC'!I390</f>
        <v>0</v>
      </c>
      <c r="K386" s="950" t="e">
        <f>'Pl 2016-20 PFC'!#REF!</f>
        <v>#REF!</v>
      </c>
      <c r="L386" s="1009"/>
      <c r="M386" s="1010"/>
      <c r="N386" s="1010"/>
      <c r="O386" s="1010"/>
      <c r="P386" s="1010"/>
      <c r="Q386" s="1010"/>
      <c r="R386" s="392"/>
      <c r="S386" s="392"/>
      <c r="T386" s="392"/>
      <c r="U386" s="392"/>
      <c r="V386" s="392"/>
      <c r="W386" s="392"/>
      <c r="X386" s="392"/>
      <c r="Y386" s="392"/>
      <c r="Z386" s="392"/>
      <c r="AA386" s="392"/>
      <c r="AB386" s="392"/>
      <c r="AC386" s="392"/>
      <c r="AD386" s="392"/>
      <c r="AE386" s="392"/>
      <c r="AF386" s="392"/>
      <c r="AG386" s="392"/>
      <c r="AH386" s="392"/>
      <c r="AI386" s="392"/>
      <c r="AJ386" s="392"/>
      <c r="AK386" s="392"/>
      <c r="AL386" s="392"/>
      <c r="AM386" s="392"/>
      <c r="AN386" s="392"/>
      <c r="AO386" s="392"/>
    </row>
    <row r="387" spans="1:41" s="393" customFormat="1" hidden="1">
      <c r="A387" s="779"/>
      <c r="B387" s="1214" t="s">
        <v>376</v>
      </c>
      <c r="C387" s="1215"/>
      <c r="D387" s="394">
        <f>'Pl 2016-20 PFC'!D391</f>
        <v>0</v>
      </c>
      <c r="E387" s="950">
        <f>'Pl 2016-20 PFC'!E391</f>
        <v>0</v>
      </c>
      <c r="F387" s="950">
        <f>'Pl 2016-20 PFC'!F391</f>
        <v>0</v>
      </c>
      <c r="G387" s="950">
        <f>'Pl 2016-20 PFC'!G391</f>
        <v>0</v>
      </c>
      <c r="H387" s="950">
        <f t="shared" si="17"/>
        <v>0</v>
      </c>
      <c r="I387" s="950">
        <f>'Pl 2016-20 PFC'!H391</f>
        <v>0</v>
      </c>
      <c r="J387" s="950">
        <f>'Pl 2016-20 PFC'!I391</f>
        <v>0</v>
      </c>
      <c r="K387" s="950" t="e">
        <f>'Pl 2016-20 PFC'!#REF!</f>
        <v>#REF!</v>
      </c>
      <c r="L387" s="1009"/>
      <c r="M387" s="1010"/>
      <c r="N387" s="1010"/>
      <c r="O387" s="1010"/>
      <c r="P387" s="1010"/>
      <c r="Q387" s="1010"/>
      <c r="R387" s="392"/>
      <c r="S387" s="392"/>
      <c r="T387" s="392"/>
      <c r="U387" s="392"/>
      <c r="V387" s="392"/>
      <c r="W387" s="392"/>
      <c r="X387" s="392"/>
      <c r="Y387" s="392"/>
      <c r="Z387" s="392"/>
      <c r="AA387" s="392"/>
      <c r="AB387" s="392"/>
      <c r="AC387" s="392"/>
      <c r="AD387" s="392"/>
      <c r="AE387" s="392"/>
      <c r="AF387" s="392"/>
      <c r="AG387" s="392"/>
      <c r="AH387" s="392"/>
      <c r="AI387" s="392"/>
      <c r="AJ387" s="392"/>
      <c r="AK387" s="392"/>
      <c r="AL387" s="392"/>
      <c r="AM387" s="392"/>
      <c r="AN387" s="392"/>
      <c r="AO387" s="392"/>
    </row>
    <row r="388" spans="1:41" s="393" customFormat="1" hidden="1">
      <c r="A388" s="779"/>
      <c r="B388" s="1214" t="s">
        <v>153</v>
      </c>
      <c r="C388" s="1215"/>
      <c r="D388" s="394">
        <f>'Pl 2016-20 PFC'!D392</f>
        <v>0</v>
      </c>
      <c r="E388" s="950">
        <f>'Pl 2016-20 PFC'!E392</f>
        <v>0</v>
      </c>
      <c r="F388" s="950">
        <f>'Pl 2016-20 PFC'!F392</f>
        <v>0</v>
      </c>
      <c r="G388" s="950">
        <f>'Pl 2016-20 PFC'!G392</f>
        <v>0</v>
      </c>
      <c r="H388" s="950">
        <f t="shared" si="17"/>
        <v>0</v>
      </c>
      <c r="I388" s="950">
        <f>'Pl 2016-20 PFC'!H392</f>
        <v>0</v>
      </c>
      <c r="J388" s="950">
        <f>'Pl 2016-20 PFC'!I392</f>
        <v>0</v>
      </c>
      <c r="K388" s="950" t="e">
        <f>'Pl 2016-20 PFC'!#REF!</f>
        <v>#REF!</v>
      </c>
      <c r="L388" s="1009"/>
      <c r="M388" s="1010"/>
      <c r="N388" s="1010"/>
      <c r="O388" s="1010"/>
      <c r="P388" s="1010"/>
      <c r="Q388" s="1010"/>
      <c r="R388" s="392"/>
      <c r="S388" s="392"/>
      <c r="T388" s="392"/>
      <c r="U388" s="392"/>
      <c r="V388" s="392"/>
      <c r="W388" s="392"/>
      <c r="X388" s="392"/>
      <c r="Y388" s="392"/>
      <c r="Z388" s="392"/>
      <c r="AA388" s="392"/>
      <c r="AB388" s="392"/>
      <c r="AC388" s="392"/>
      <c r="AD388" s="392"/>
      <c r="AE388" s="392"/>
      <c r="AF388" s="392"/>
      <c r="AG388" s="392"/>
      <c r="AH388" s="392"/>
      <c r="AI388" s="392"/>
      <c r="AJ388" s="392"/>
      <c r="AK388" s="392"/>
      <c r="AL388" s="392"/>
      <c r="AM388" s="392"/>
      <c r="AN388" s="392"/>
      <c r="AO388" s="392"/>
    </row>
    <row r="389" spans="1:41" s="393" customFormat="1" hidden="1">
      <c r="A389" s="779"/>
      <c r="B389" s="1214" t="s">
        <v>377</v>
      </c>
      <c r="C389" s="1215"/>
      <c r="D389" s="394">
        <f>'Pl 2016-20 PFC'!D393</f>
        <v>0</v>
      </c>
      <c r="E389" s="950">
        <f>'Pl 2016-20 PFC'!E393</f>
        <v>0</v>
      </c>
      <c r="F389" s="950">
        <f>'Pl 2016-20 PFC'!F393</f>
        <v>0</v>
      </c>
      <c r="G389" s="950">
        <f>'Pl 2016-20 PFC'!G393</f>
        <v>0</v>
      </c>
      <c r="H389" s="950">
        <f t="shared" si="17"/>
        <v>0</v>
      </c>
      <c r="I389" s="950">
        <f>'Pl 2016-20 PFC'!H393</f>
        <v>0</v>
      </c>
      <c r="J389" s="950">
        <f>'Pl 2016-20 PFC'!I393</f>
        <v>0</v>
      </c>
      <c r="K389" s="950" t="e">
        <f>'Pl 2016-20 PFC'!#REF!</f>
        <v>#REF!</v>
      </c>
      <c r="L389" s="1009"/>
      <c r="M389" s="1010"/>
      <c r="N389" s="1010"/>
      <c r="O389" s="1010"/>
      <c r="P389" s="1010"/>
      <c r="Q389" s="1010"/>
      <c r="R389" s="392"/>
      <c r="S389" s="392"/>
      <c r="T389" s="392"/>
      <c r="U389" s="392"/>
      <c r="V389" s="392"/>
      <c r="W389" s="392"/>
      <c r="X389" s="392"/>
      <c r="Y389" s="392"/>
      <c r="Z389" s="392"/>
      <c r="AA389" s="392"/>
      <c r="AB389" s="392"/>
      <c r="AC389" s="392"/>
      <c r="AD389" s="392"/>
      <c r="AE389" s="392"/>
      <c r="AF389" s="392"/>
      <c r="AG389" s="392"/>
      <c r="AH389" s="392"/>
      <c r="AI389" s="392"/>
      <c r="AJ389" s="392"/>
      <c r="AK389" s="392"/>
      <c r="AL389" s="392"/>
      <c r="AM389" s="392"/>
      <c r="AN389" s="392"/>
      <c r="AO389" s="392"/>
    </row>
    <row r="390" spans="1:41" s="393" customFormat="1" hidden="1">
      <c r="A390" s="779"/>
      <c r="B390" s="1214" t="s">
        <v>155</v>
      </c>
      <c r="C390" s="1215"/>
      <c r="D390" s="394">
        <f>'Pl 2016-20 PFC'!D394</f>
        <v>0</v>
      </c>
      <c r="E390" s="950">
        <f>'Pl 2016-20 PFC'!E394</f>
        <v>0</v>
      </c>
      <c r="F390" s="950">
        <f>'Pl 2016-20 PFC'!F394</f>
        <v>0</v>
      </c>
      <c r="G390" s="950">
        <f>'Pl 2016-20 PFC'!G394</f>
        <v>0</v>
      </c>
      <c r="H390" s="950">
        <f t="shared" si="17"/>
        <v>0</v>
      </c>
      <c r="I390" s="950">
        <f>'Pl 2016-20 PFC'!H394</f>
        <v>0</v>
      </c>
      <c r="J390" s="950">
        <f>'Pl 2016-20 PFC'!I394</f>
        <v>0</v>
      </c>
      <c r="K390" s="950" t="e">
        <f>'Pl 2016-20 PFC'!#REF!</f>
        <v>#REF!</v>
      </c>
      <c r="L390" s="1009"/>
      <c r="M390" s="1010"/>
      <c r="N390" s="1010"/>
      <c r="O390" s="1010"/>
      <c r="P390" s="1010"/>
      <c r="Q390" s="1010"/>
      <c r="R390" s="392"/>
      <c r="S390" s="392"/>
      <c r="T390" s="392"/>
      <c r="U390" s="392"/>
      <c r="V390" s="392"/>
      <c r="W390" s="392"/>
      <c r="X390" s="392"/>
      <c r="Y390" s="392"/>
      <c r="Z390" s="392"/>
      <c r="AA390" s="392"/>
      <c r="AB390" s="392"/>
      <c r="AC390" s="392"/>
      <c r="AD390" s="392"/>
      <c r="AE390" s="392"/>
      <c r="AF390" s="392"/>
      <c r="AG390" s="392"/>
      <c r="AH390" s="392"/>
      <c r="AI390" s="392"/>
      <c r="AJ390" s="392"/>
      <c r="AK390" s="392"/>
      <c r="AL390" s="392"/>
      <c r="AM390" s="392"/>
      <c r="AN390" s="392"/>
      <c r="AO390" s="392"/>
    </row>
    <row r="391" spans="1:41" s="393" customFormat="1" hidden="1">
      <c r="A391" s="779"/>
      <c r="B391" s="1214" t="s">
        <v>156</v>
      </c>
      <c r="C391" s="1215"/>
      <c r="D391" s="394">
        <f>'Pl 2016-20 PFC'!D395</f>
        <v>0</v>
      </c>
      <c r="E391" s="950">
        <f>'Pl 2016-20 PFC'!E395</f>
        <v>0</v>
      </c>
      <c r="F391" s="950">
        <f>'Pl 2016-20 PFC'!F395</f>
        <v>0</v>
      </c>
      <c r="G391" s="950">
        <f>'Pl 2016-20 PFC'!G395</f>
        <v>0</v>
      </c>
      <c r="H391" s="950">
        <f t="shared" si="17"/>
        <v>0</v>
      </c>
      <c r="I391" s="950">
        <f>'Pl 2016-20 PFC'!H395</f>
        <v>0</v>
      </c>
      <c r="J391" s="950">
        <f>'Pl 2016-20 PFC'!I395</f>
        <v>0</v>
      </c>
      <c r="K391" s="950" t="e">
        <f>'Pl 2016-20 PFC'!#REF!</f>
        <v>#REF!</v>
      </c>
      <c r="L391" s="1009"/>
      <c r="M391" s="1010"/>
      <c r="N391" s="1010"/>
      <c r="O391" s="1010"/>
      <c r="P391" s="1010"/>
      <c r="Q391" s="1010"/>
      <c r="R391" s="392"/>
      <c r="S391" s="392"/>
      <c r="T391" s="392"/>
      <c r="U391" s="392"/>
      <c r="V391" s="392"/>
      <c r="W391" s="392"/>
      <c r="X391" s="392"/>
      <c r="Y391" s="392"/>
      <c r="Z391" s="392"/>
      <c r="AA391" s="392"/>
      <c r="AB391" s="392"/>
      <c r="AC391" s="392"/>
      <c r="AD391" s="392"/>
      <c r="AE391" s="392"/>
      <c r="AF391" s="392"/>
      <c r="AG391" s="392"/>
      <c r="AH391" s="392"/>
      <c r="AI391" s="392"/>
      <c r="AJ391" s="392"/>
      <c r="AK391" s="392"/>
      <c r="AL391" s="392"/>
      <c r="AM391" s="392"/>
      <c r="AN391" s="392"/>
      <c r="AO391" s="392"/>
    </row>
    <row r="392" spans="1:41" s="393" customFormat="1" hidden="1">
      <c r="A392" s="779"/>
      <c r="B392" s="1214" t="s">
        <v>157</v>
      </c>
      <c r="C392" s="1215"/>
      <c r="D392" s="394">
        <f>'Pl 2016-20 PFC'!D396</f>
        <v>0</v>
      </c>
      <c r="E392" s="950">
        <f>'Pl 2016-20 PFC'!E396</f>
        <v>0</v>
      </c>
      <c r="F392" s="950">
        <f>'Pl 2016-20 PFC'!F396</f>
        <v>0</v>
      </c>
      <c r="G392" s="950">
        <f>'Pl 2016-20 PFC'!G396</f>
        <v>0</v>
      </c>
      <c r="H392" s="950">
        <f t="shared" si="17"/>
        <v>0</v>
      </c>
      <c r="I392" s="950">
        <f>'Pl 2016-20 PFC'!H396</f>
        <v>0</v>
      </c>
      <c r="J392" s="950">
        <f>'Pl 2016-20 PFC'!I396</f>
        <v>0</v>
      </c>
      <c r="K392" s="950" t="e">
        <f>'Pl 2016-20 PFC'!#REF!</f>
        <v>#REF!</v>
      </c>
      <c r="L392" s="1009"/>
      <c r="M392" s="1010"/>
      <c r="N392" s="1010"/>
      <c r="O392" s="1010"/>
      <c r="P392" s="1010"/>
      <c r="Q392" s="1010"/>
      <c r="R392" s="392"/>
      <c r="S392" s="392"/>
      <c r="T392" s="392"/>
      <c r="U392" s="392"/>
      <c r="V392" s="392"/>
      <c r="W392" s="392"/>
      <c r="X392" s="392"/>
      <c r="Y392" s="392"/>
      <c r="Z392" s="392"/>
      <c r="AA392" s="392"/>
      <c r="AB392" s="392"/>
      <c r="AC392" s="392"/>
      <c r="AD392" s="392"/>
      <c r="AE392" s="392"/>
      <c r="AF392" s="392"/>
      <c r="AG392" s="392"/>
      <c r="AH392" s="392"/>
      <c r="AI392" s="392"/>
      <c r="AJ392" s="392"/>
      <c r="AK392" s="392"/>
      <c r="AL392" s="392"/>
      <c r="AM392" s="392"/>
      <c r="AN392" s="392"/>
      <c r="AO392" s="392"/>
    </row>
    <row r="393" spans="1:41" s="393" customFormat="1" hidden="1">
      <c r="A393" s="779"/>
      <c r="B393" s="1214" t="s">
        <v>158</v>
      </c>
      <c r="C393" s="1215"/>
      <c r="D393" s="394">
        <f>'Pl 2016-20 PFC'!D397</f>
        <v>0</v>
      </c>
      <c r="E393" s="950">
        <f>'Pl 2016-20 PFC'!E397</f>
        <v>0</v>
      </c>
      <c r="F393" s="950">
        <f>'Pl 2016-20 PFC'!F397</f>
        <v>0</v>
      </c>
      <c r="G393" s="950">
        <f>'Pl 2016-20 PFC'!G397</f>
        <v>0</v>
      </c>
      <c r="H393" s="950">
        <f t="shared" si="17"/>
        <v>0</v>
      </c>
      <c r="I393" s="950">
        <f>'Pl 2016-20 PFC'!H397</f>
        <v>0</v>
      </c>
      <c r="J393" s="950">
        <f>'Pl 2016-20 PFC'!I397</f>
        <v>0</v>
      </c>
      <c r="K393" s="950" t="e">
        <f>'Pl 2016-20 PFC'!#REF!</f>
        <v>#REF!</v>
      </c>
      <c r="L393" s="1009"/>
      <c r="M393" s="1010"/>
      <c r="N393" s="1010"/>
      <c r="O393" s="1010"/>
      <c r="P393" s="1010"/>
      <c r="Q393" s="1010"/>
      <c r="R393" s="392"/>
      <c r="S393" s="392"/>
      <c r="T393" s="392"/>
      <c r="U393" s="392"/>
      <c r="V393" s="392"/>
      <c r="W393" s="392"/>
      <c r="X393" s="392"/>
      <c r="Y393" s="392"/>
      <c r="Z393" s="392"/>
      <c r="AA393" s="392"/>
      <c r="AB393" s="392"/>
      <c r="AC393" s="392"/>
      <c r="AD393" s="392"/>
      <c r="AE393" s="392"/>
      <c r="AF393" s="392"/>
      <c r="AG393" s="392"/>
      <c r="AH393" s="392"/>
      <c r="AI393" s="392"/>
      <c r="AJ393" s="392"/>
      <c r="AK393" s="392"/>
      <c r="AL393" s="392"/>
      <c r="AM393" s="392"/>
      <c r="AN393" s="392"/>
      <c r="AO393" s="392"/>
    </row>
    <row r="394" spans="1:41" s="393" customFormat="1" hidden="1">
      <c r="A394" s="779"/>
      <c r="B394" s="1214" t="s">
        <v>159</v>
      </c>
      <c r="C394" s="1215"/>
      <c r="D394" s="394">
        <f>'Pl 2016-20 PFC'!D398</f>
        <v>0</v>
      </c>
      <c r="E394" s="950">
        <f>'Pl 2016-20 PFC'!E398</f>
        <v>0</v>
      </c>
      <c r="F394" s="950">
        <f>'Pl 2016-20 PFC'!F398</f>
        <v>0</v>
      </c>
      <c r="G394" s="950">
        <f>'Pl 2016-20 PFC'!G398</f>
        <v>0</v>
      </c>
      <c r="H394" s="950">
        <f t="shared" si="17"/>
        <v>0</v>
      </c>
      <c r="I394" s="950">
        <f>'Pl 2016-20 PFC'!H398</f>
        <v>0</v>
      </c>
      <c r="J394" s="950">
        <f>'Pl 2016-20 PFC'!I398</f>
        <v>0</v>
      </c>
      <c r="K394" s="950" t="e">
        <f>'Pl 2016-20 PFC'!#REF!</f>
        <v>#REF!</v>
      </c>
      <c r="L394" s="1009"/>
      <c r="M394" s="1010"/>
      <c r="N394" s="1010"/>
      <c r="O394" s="1010"/>
      <c r="P394" s="1010"/>
      <c r="Q394" s="1010"/>
      <c r="R394" s="392"/>
      <c r="S394" s="392"/>
      <c r="T394" s="392"/>
      <c r="U394" s="392"/>
      <c r="V394" s="392"/>
      <c r="W394" s="392"/>
      <c r="X394" s="392"/>
      <c r="Y394" s="392"/>
      <c r="Z394" s="392"/>
      <c r="AA394" s="392"/>
      <c r="AB394" s="392"/>
      <c r="AC394" s="392"/>
      <c r="AD394" s="392"/>
      <c r="AE394" s="392"/>
      <c r="AF394" s="392"/>
      <c r="AG394" s="392"/>
      <c r="AH394" s="392"/>
      <c r="AI394" s="392"/>
      <c r="AJ394" s="392"/>
      <c r="AK394" s="392"/>
      <c r="AL394" s="392"/>
      <c r="AM394" s="392"/>
      <c r="AN394" s="392"/>
      <c r="AO394" s="392"/>
    </row>
    <row r="395" spans="1:41" s="393" customFormat="1" hidden="1">
      <c r="A395" s="779"/>
      <c r="B395" s="1214" t="s">
        <v>160</v>
      </c>
      <c r="C395" s="1215"/>
      <c r="D395" s="394">
        <f>'Pl 2016-20 PFC'!D399</f>
        <v>0</v>
      </c>
      <c r="E395" s="950">
        <f>'Pl 2016-20 PFC'!E399</f>
        <v>0</v>
      </c>
      <c r="F395" s="950">
        <f>'Pl 2016-20 PFC'!F399</f>
        <v>0</v>
      </c>
      <c r="G395" s="950">
        <f>'Pl 2016-20 PFC'!G399</f>
        <v>0</v>
      </c>
      <c r="H395" s="950">
        <f t="shared" si="17"/>
        <v>0</v>
      </c>
      <c r="I395" s="950">
        <f>'Pl 2016-20 PFC'!H399</f>
        <v>0</v>
      </c>
      <c r="J395" s="950">
        <f>'Pl 2016-20 PFC'!I399</f>
        <v>0</v>
      </c>
      <c r="K395" s="950" t="e">
        <f>'Pl 2016-20 PFC'!#REF!</f>
        <v>#REF!</v>
      </c>
      <c r="L395" s="1009"/>
      <c r="M395" s="1010"/>
      <c r="N395" s="1010"/>
      <c r="O395" s="1010"/>
      <c r="P395" s="1010"/>
      <c r="Q395" s="1010"/>
      <c r="R395" s="392"/>
      <c r="S395" s="392"/>
      <c r="T395" s="392"/>
      <c r="U395" s="392"/>
      <c r="V395" s="392"/>
      <c r="W395" s="392"/>
      <c r="X395" s="392"/>
      <c r="Y395" s="392"/>
      <c r="Z395" s="392"/>
      <c r="AA395" s="392"/>
      <c r="AB395" s="392"/>
      <c r="AC395" s="392"/>
      <c r="AD395" s="392"/>
      <c r="AE395" s="392"/>
      <c r="AF395" s="392"/>
      <c r="AG395" s="392"/>
      <c r="AH395" s="392"/>
      <c r="AI395" s="392"/>
      <c r="AJ395" s="392"/>
      <c r="AK395" s="392"/>
      <c r="AL395" s="392"/>
      <c r="AM395" s="392"/>
      <c r="AN395" s="392"/>
      <c r="AO395" s="392"/>
    </row>
    <row r="396" spans="1:41" s="393" customFormat="1" hidden="1">
      <c r="A396" s="779"/>
      <c r="B396" s="1214" t="s">
        <v>161</v>
      </c>
      <c r="C396" s="1215"/>
      <c r="D396" s="394">
        <f>'Pl 2016-20 PFC'!D400</f>
        <v>0</v>
      </c>
      <c r="E396" s="950">
        <f>'Pl 2016-20 PFC'!E400</f>
        <v>0</v>
      </c>
      <c r="F396" s="950">
        <f>'Pl 2016-20 PFC'!F400</f>
        <v>0</v>
      </c>
      <c r="G396" s="950">
        <f>'Pl 2016-20 PFC'!G400</f>
        <v>0</v>
      </c>
      <c r="H396" s="950">
        <f t="shared" si="17"/>
        <v>0</v>
      </c>
      <c r="I396" s="950">
        <f>'Pl 2016-20 PFC'!H400</f>
        <v>0</v>
      </c>
      <c r="J396" s="950">
        <f>'Pl 2016-20 PFC'!I400</f>
        <v>0</v>
      </c>
      <c r="K396" s="950" t="e">
        <f>'Pl 2016-20 PFC'!#REF!</f>
        <v>#REF!</v>
      </c>
      <c r="L396" s="1009"/>
      <c r="M396" s="1010"/>
      <c r="N396" s="1010"/>
      <c r="O396" s="1010"/>
      <c r="P396" s="1010"/>
      <c r="Q396" s="1010"/>
      <c r="R396" s="392"/>
      <c r="S396" s="392"/>
      <c r="T396" s="392"/>
      <c r="U396" s="392"/>
      <c r="V396" s="392"/>
      <c r="W396" s="392"/>
      <c r="X396" s="392"/>
      <c r="Y396" s="392"/>
      <c r="Z396" s="392"/>
      <c r="AA396" s="392"/>
      <c r="AB396" s="392"/>
      <c r="AC396" s="392"/>
      <c r="AD396" s="392"/>
      <c r="AE396" s="392"/>
      <c r="AF396" s="392"/>
      <c r="AG396" s="392"/>
      <c r="AH396" s="392"/>
      <c r="AI396" s="392"/>
      <c r="AJ396" s="392"/>
      <c r="AK396" s="392"/>
      <c r="AL396" s="392"/>
      <c r="AM396" s="392"/>
      <c r="AN396" s="392"/>
      <c r="AO396" s="392"/>
    </row>
    <row r="397" spans="1:41" s="393" customFormat="1" hidden="1">
      <c r="A397" s="779"/>
      <c r="B397" s="1214" t="s">
        <v>162</v>
      </c>
      <c r="C397" s="1215"/>
      <c r="D397" s="394">
        <f>'Pl 2016-20 PFC'!D401</f>
        <v>0</v>
      </c>
      <c r="E397" s="950">
        <f>'Pl 2016-20 PFC'!E401</f>
        <v>0</v>
      </c>
      <c r="F397" s="950">
        <f>'Pl 2016-20 PFC'!F401</f>
        <v>0</v>
      </c>
      <c r="G397" s="950">
        <f>'Pl 2016-20 PFC'!G401</f>
        <v>0</v>
      </c>
      <c r="H397" s="950">
        <f t="shared" si="17"/>
        <v>0</v>
      </c>
      <c r="I397" s="950">
        <f>'Pl 2016-20 PFC'!H401</f>
        <v>0</v>
      </c>
      <c r="J397" s="950">
        <f>'Pl 2016-20 PFC'!I401</f>
        <v>0</v>
      </c>
      <c r="K397" s="950" t="e">
        <f>'Pl 2016-20 PFC'!#REF!</f>
        <v>#REF!</v>
      </c>
      <c r="L397" s="1009"/>
      <c r="M397" s="1010"/>
      <c r="N397" s="1010"/>
      <c r="O397" s="1010"/>
      <c r="P397" s="1010"/>
      <c r="Q397" s="1010"/>
      <c r="R397" s="392"/>
      <c r="S397" s="392"/>
      <c r="T397" s="392"/>
      <c r="U397" s="392"/>
      <c r="V397" s="392"/>
      <c r="W397" s="392"/>
      <c r="X397" s="392"/>
      <c r="Y397" s="392"/>
      <c r="Z397" s="392"/>
      <c r="AA397" s="392"/>
      <c r="AB397" s="392"/>
      <c r="AC397" s="392"/>
      <c r="AD397" s="392"/>
      <c r="AE397" s="392"/>
      <c r="AF397" s="392"/>
      <c r="AG397" s="392"/>
      <c r="AH397" s="392"/>
      <c r="AI397" s="392"/>
      <c r="AJ397" s="392"/>
      <c r="AK397" s="392"/>
      <c r="AL397" s="392"/>
      <c r="AM397" s="392"/>
      <c r="AN397" s="392"/>
      <c r="AO397" s="392"/>
    </row>
    <row r="398" spans="1:41" s="393" customFormat="1" hidden="1">
      <c r="A398" s="779"/>
      <c r="B398" s="1214" t="s">
        <v>163</v>
      </c>
      <c r="C398" s="1215"/>
      <c r="D398" s="394">
        <f>'Pl 2016-20 PFC'!D402</f>
        <v>0</v>
      </c>
      <c r="E398" s="950">
        <f>'Pl 2016-20 PFC'!E402</f>
        <v>0</v>
      </c>
      <c r="F398" s="950">
        <f>'Pl 2016-20 PFC'!F402</f>
        <v>0</v>
      </c>
      <c r="G398" s="950">
        <f>'Pl 2016-20 PFC'!G402</f>
        <v>0</v>
      </c>
      <c r="H398" s="950">
        <f t="shared" si="17"/>
        <v>0</v>
      </c>
      <c r="I398" s="950">
        <f>'Pl 2016-20 PFC'!H402</f>
        <v>0</v>
      </c>
      <c r="J398" s="950">
        <f>'Pl 2016-20 PFC'!I402</f>
        <v>0</v>
      </c>
      <c r="K398" s="950" t="e">
        <f>'Pl 2016-20 PFC'!#REF!</f>
        <v>#REF!</v>
      </c>
      <c r="L398" s="1009"/>
      <c r="M398" s="1010"/>
      <c r="N398" s="1010"/>
      <c r="O398" s="1010"/>
      <c r="P398" s="1010"/>
      <c r="Q398" s="1010"/>
      <c r="R398" s="392"/>
      <c r="S398" s="392"/>
      <c r="T398" s="392"/>
      <c r="U398" s="392"/>
      <c r="V398" s="392"/>
      <c r="W398" s="392"/>
      <c r="X398" s="392"/>
      <c r="Y398" s="392"/>
      <c r="Z398" s="392"/>
      <c r="AA398" s="392"/>
      <c r="AB398" s="392"/>
      <c r="AC398" s="392"/>
      <c r="AD398" s="392"/>
      <c r="AE398" s="392"/>
      <c r="AF398" s="392"/>
      <c r="AG398" s="392"/>
      <c r="AH398" s="392"/>
      <c r="AI398" s="392"/>
      <c r="AJ398" s="392"/>
      <c r="AK398" s="392"/>
      <c r="AL398" s="392"/>
      <c r="AM398" s="392"/>
      <c r="AN398" s="392"/>
      <c r="AO398" s="392"/>
    </row>
    <row r="399" spans="1:41" s="393" customFormat="1" hidden="1">
      <c r="A399" s="779"/>
      <c r="B399" s="1214" t="s">
        <v>164</v>
      </c>
      <c r="C399" s="1215"/>
      <c r="D399" s="394">
        <f>'Pl 2016-20 PFC'!D403</f>
        <v>0</v>
      </c>
      <c r="E399" s="950">
        <f>'Pl 2016-20 PFC'!E403</f>
        <v>0</v>
      </c>
      <c r="F399" s="950">
        <f>'Pl 2016-20 PFC'!F403</f>
        <v>0</v>
      </c>
      <c r="G399" s="950">
        <f>'Pl 2016-20 PFC'!G403</f>
        <v>0</v>
      </c>
      <c r="H399" s="950">
        <f t="shared" si="17"/>
        <v>0</v>
      </c>
      <c r="I399" s="950">
        <f>'Pl 2016-20 PFC'!H403</f>
        <v>0</v>
      </c>
      <c r="J399" s="950">
        <f>'Pl 2016-20 PFC'!I403</f>
        <v>0</v>
      </c>
      <c r="K399" s="950" t="e">
        <f>'Pl 2016-20 PFC'!#REF!</f>
        <v>#REF!</v>
      </c>
      <c r="L399" s="1009"/>
      <c r="M399" s="1010"/>
      <c r="N399" s="1010"/>
      <c r="O399" s="1010"/>
      <c r="P399" s="1010"/>
      <c r="Q399" s="1010"/>
      <c r="R399" s="392"/>
      <c r="S399" s="392"/>
      <c r="T399" s="392"/>
      <c r="U399" s="392"/>
      <c r="V399" s="392"/>
      <c r="W399" s="392"/>
      <c r="X399" s="392"/>
      <c r="Y399" s="392"/>
      <c r="Z399" s="392"/>
      <c r="AA399" s="392"/>
      <c r="AB399" s="392"/>
      <c r="AC399" s="392"/>
      <c r="AD399" s="392"/>
      <c r="AE399" s="392"/>
      <c r="AF399" s="392"/>
      <c r="AG399" s="392"/>
      <c r="AH399" s="392"/>
      <c r="AI399" s="392"/>
      <c r="AJ399" s="392"/>
      <c r="AK399" s="392"/>
      <c r="AL399" s="392"/>
      <c r="AM399" s="392"/>
      <c r="AN399" s="392"/>
      <c r="AO399" s="392"/>
    </row>
    <row r="400" spans="1:41" s="393" customFormat="1" hidden="1">
      <c r="A400" s="779"/>
      <c r="B400" s="1214" t="s">
        <v>165</v>
      </c>
      <c r="C400" s="1215"/>
      <c r="D400" s="394">
        <f>'Pl 2016-20 PFC'!D404</f>
        <v>460000</v>
      </c>
      <c r="E400" s="950">
        <f>'Pl 2016-20 PFC'!E404</f>
        <v>460000</v>
      </c>
      <c r="F400" s="950">
        <f>'Pl 2016-20 PFC'!F404</f>
        <v>520000</v>
      </c>
      <c r="G400" s="950">
        <f>'Pl 2016-20 PFC'!G404</f>
        <v>520000</v>
      </c>
      <c r="H400" s="950">
        <f t="shared" si="17"/>
        <v>0</v>
      </c>
      <c r="I400" s="950">
        <f>'Pl 2016-20 PFC'!H404</f>
        <v>0</v>
      </c>
      <c r="J400" s="950">
        <f>'Pl 2016-20 PFC'!I404</f>
        <v>520000</v>
      </c>
      <c r="K400" s="950" t="e">
        <f>'Pl 2016-20 PFC'!#REF!</f>
        <v>#REF!</v>
      </c>
      <c r="L400" s="1009"/>
      <c r="M400" s="1010"/>
      <c r="N400" s="1010"/>
      <c r="O400" s="1010"/>
      <c r="P400" s="1010"/>
      <c r="Q400" s="1010"/>
      <c r="R400" s="392"/>
      <c r="S400" s="392"/>
      <c r="T400" s="392"/>
      <c r="U400" s="392"/>
      <c r="V400" s="392"/>
      <c r="W400" s="392"/>
      <c r="X400" s="392"/>
      <c r="Y400" s="392"/>
      <c r="Z400" s="392"/>
      <c r="AA400" s="392"/>
      <c r="AB400" s="392"/>
      <c r="AC400" s="392"/>
      <c r="AD400" s="392"/>
      <c r="AE400" s="392"/>
      <c r="AF400" s="392"/>
      <c r="AG400" s="392"/>
      <c r="AH400" s="392"/>
      <c r="AI400" s="392"/>
      <c r="AJ400" s="392"/>
      <c r="AK400" s="392"/>
      <c r="AL400" s="392"/>
      <c r="AM400" s="392"/>
      <c r="AN400" s="392"/>
      <c r="AO400" s="392"/>
    </row>
    <row r="401" spans="1:41" s="393" customFormat="1" hidden="1">
      <c r="A401" s="779"/>
      <c r="B401" s="1214" t="s">
        <v>166</v>
      </c>
      <c r="C401" s="1215"/>
      <c r="D401" s="394">
        <f>'Pl 2016-20 PFC'!D405</f>
        <v>76741000</v>
      </c>
      <c r="E401" s="950">
        <f>'Pl 2016-20 PFC'!E405</f>
        <v>76741000</v>
      </c>
      <c r="F401" s="950">
        <f>'Pl 2016-20 PFC'!F405</f>
        <v>75000000</v>
      </c>
      <c r="G401" s="950">
        <f>'Pl 2016-20 PFC'!G405</f>
        <v>49352000</v>
      </c>
      <c r="H401" s="950">
        <f t="shared" si="17"/>
        <v>25648000</v>
      </c>
      <c r="I401" s="950">
        <f>'Pl 2016-20 PFC'!H405</f>
        <v>0</v>
      </c>
      <c r="J401" s="950">
        <f>'Pl 2016-20 PFC'!I405</f>
        <v>49352000</v>
      </c>
      <c r="K401" s="950" t="e">
        <f>'Pl 2016-20 PFC'!#REF!</f>
        <v>#REF!</v>
      </c>
      <c r="L401" s="1009"/>
      <c r="M401" s="1010"/>
      <c r="N401" s="1010"/>
      <c r="O401" s="1010"/>
      <c r="P401" s="1010"/>
      <c r="Q401" s="1010"/>
      <c r="R401" s="392"/>
      <c r="S401" s="392"/>
      <c r="T401" s="392"/>
      <c r="U401" s="392"/>
      <c r="V401" s="392"/>
      <c r="W401" s="392"/>
      <c r="X401" s="392"/>
      <c r="Y401" s="392"/>
      <c r="Z401" s="392"/>
      <c r="AA401" s="392"/>
      <c r="AB401" s="392"/>
      <c r="AC401" s="392"/>
      <c r="AD401" s="392"/>
      <c r="AE401" s="392"/>
      <c r="AF401" s="392"/>
      <c r="AG401" s="392"/>
      <c r="AH401" s="392"/>
      <c r="AI401" s="392"/>
      <c r="AJ401" s="392"/>
      <c r="AK401" s="392"/>
      <c r="AL401" s="392"/>
      <c r="AM401" s="392"/>
      <c r="AN401" s="392"/>
      <c r="AO401" s="392"/>
    </row>
    <row r="402" spans="1:41" s="393" customFormat="1" hidden="1">
      <c r="A402" s="779"/>
      <c r="B402" s="1214" t="s">
        <v>378</v>
      </c>
      <c r="C402" s="1215"/>
      <c r="D402" s="394">
        <f>'Pl 2016-20 PFC'!D406</f>
        <v>0</v>
      </c>
      <c r="E402" s="950">
        <f>'Pl 2016-20 PFC'!E406</f>
        <v>0</v>
      </c>
      <c r="F402" s="950">
        <f>'Pl 2016-20 PFC'!F406</f>
        <v>0</v>
      </c>
      <c r="G402" s="950">
        <f>'Pl 2016-20 PFC'!G406</f>
        <v>0</v>
      </c>
      <c r="H402" s="950">
        <f t="shared" si="17"/>
        <v>0</v>
      </c>
      <c r="I402" s="950">
        <f>'Pl 2016-20 PFC'!H406</f>
        <v>0</v>
      </c>
      <c r="J402" s="950">
        <f>'Pl 2016-20 PFC'!I406</f>
        <v>0</v>
      </c>
      <c r="K402" s="950" t="e">
        <f>'Pl 2016-20 PFC'!#REF!</f>
        <v>#REF!</v>
      </c>
      <c r="L402" s="1009"/>
      <c r="M402" s="1010"/>
      <c r="N402" s="1010"/>
      <c r="O402" s="1010"/>
      <c r="P402" s="1010"/>
      <c r="Q402" s="1010"/>
      <c r="R402" s="392"/>
      <c r="S402" s="392"/>
      <c r="T402" s="392"/>
      <c r="U402" s="392"/>
      <c r="V402" s="392"/>
      <c r="W402" s="392"/>
      <c r="X402" s="392"/>
      <c r="Y402" s="392"/>
      <c r="Z402" s="392"/>
      <c r="AA402" s="392"/>
      <c r="AB402" s="392"/>
      <c r="AC402" s="392"/>
      <c r="AD402" s="392"/>
      <c r="AE402" s="392"/>
      <c r="AF402" s="392"/>
      <c r="AG402" s="392"/>
      <c r="AH402" s="392"/>
      <c r="AI402" s="392"/>
      <c r="AJ402" s="392"/>
      <c r="AK402" s="392"/>
      <c r="AL402" s="392"/>
      <c r="AM402" s="392"/>
      <c r="AN402" s="392"/>
      <c r="AO402" s="392"/>
    </row>
    <row r="403" spans="1:41" s="393" customFormat="1" hidden="1">
      <c r="A403" s="779"/>
      <c r="B403" s="1214" t="s">
        <v>168</v>
      </c>
      <c r="C403" s="1215"/>
      <c r="D403" s="394">
        <f>'Pl 2016-20 PFC'!D407</f>
        <v>0</v>
      </c>
      <c r="E403" s="950">
        <f>'Pl 2016-20 PFC'!E407</f>
        <v>0</v>
      </c>
      <c r="F403" s="950">
        <f>'Pl 2016-20 PFC'!F407</f>
        <v>20000000</v>
      </c>
      <c r="G403" s="950">
        <f>'Pl 2016-20 PFC'!G407</f>
        <v>0</v>
      </c>
      <c r="H403" s="950">
        <f t="shared" si="17"/>
        <v>20000000</v>
      </c>
      <c r="I403" s="950">
        <f>'Pl 2016-20 PFC'!H407</f>
        <v>0</v>
      </c>
      <c r="J403" s="950">
        <f>'Pl 2016-20 PFC'!I407</f>
        <v>0</v>
      </c>
      <c r="K403" s="950" t="e">
        <f>'Pl 2016-20 PFC'!#REF!</f>
        <v>#REF!</v>
      </c>
      <c r="L403" s="1009"/>
      <c r="M403" s="1010"/>
      <c r="N403" s="1010"/>
      <c r="O403" s="1010"/>
      <c r="P403" s="1010"/>
      <c r="Q403" s="1010"/>
      <c r="R403" s="392"/>
      <c r="S403" s="392"/>
      <c r="T403" s="392"/>
      <c r="U403" s="392"/>
      <c r="V403" s="392"/>
      <c r="W403" s="392"/>
      <c r="X403" s="392"/>
      <c r="Y403" s="392"/>
      <c r="Z403" s="392"/>
      <c r="AA403" s="392"/>
      <c r="AB403" s="392"/>
      <c r="AC403" s="392"/>
      <c r="AD403" s="392"/>
      <c r="AE403" s="392"/>
      <c r="AF403" s="392"/>
      <c r="AG403" s="392"/>
      <c r="AH403" s="392"/>
      <c r="AI403" s="392"/>
      <c r="AJ403" s="392"/>
      <c r="AK403" s="392"/>
      <c r="AL403" s="392"/>
      <c r="AM403" s="392"/>
      <c r="AN403" s="392"/>
      <c r="AO403" s="392"/>
    </row>
    <row r="404" spans="1:41" s="393" customFormat="1" hidden="1">
      <c r="A404" s="779"/>
      <c r="B404" s="1214"/>
      <c r="C404" s="1215"/>
      <c r="D404" s="394"/>
      <c r="E404" s="950"/>
      <c r="F404" s="950"/>
      <c r="G404" s="950"/>
      <c r="H404" s="950">
        <f t="shared" si="17"/>
        <v>0</v>
      </c>
      <c r="I404" s="950"/>
      <c r="J404" s="950"/>
      <c r="K404" s="950"/>
      <c r="L404" s="1009"/>
      <c r="M404" s="1010"/>
      <c r="N404" s="1010"/>
      <c r="O404" s="1010"/>
      <c r="P404" s="1010"/>
      <c r="Q404" s="1010"/>
      <c r="R404" s="392"/>
      <c r="S404" s="392"/>
      <c r="T404" s="392"/>
      <c r="U404" s="392"/>
      <c r="V404" s="392"/>
      <c r="W404" s="392"/>
      <c r="X404" s="392"/>
      <c r="Y404" s="392"/>
      <c r="Z404" s="392"/>
      <c r="AA404" s="392"/>
      <c r="AB404" s="392"/>
      <c r="AC404" s="392"/>
      <c r="AD404" s="392"/>
      <c r="AE404" s="392"/>
      <c r="AF404" s="392"/>
      <c r="AG404" s="392"/>
      <c r="AH404" s="392"/>
      <c r="AI404" s="392"/>
      <c r="AJ404" s="392"/>
      <c r="AK404" s="392"/>
      <c r="AL404" s="392"/>
      <c r="AM404" s="392"/>
      <c r="AN404" s="392"/>
      <c r="AO404" s="392"/>
    </row>
    <row r="405" spans="1:41" s="397" customFormat="1" hidden="1">
      <c r="A405" s="779" t="s">
        <v>17</v>
      </c>
      <c r="B405" s="1214" t="s">
        <v>379</v>
      </c>
      <c r="C405" s="1215" t="s">
        <v>81</v>
      </c>
      <c r="D405" s="394">
        <f>'Pl 2016-20 PFC'!D409</f>
        <v>3264133000</v>
      </c>
      <c r="E405" s="950">
        <f>'Pl 2016-20 PFC'!E409</f>
        <v>3263133000</v>
      </c>
      <c r="F405" s="950">
        <f>'Pl 2016-20 PFC'!F409</f>
        <v>3417940000</v>
      </c>
      <c r="G405" s="950">
        <f>'Pl 2016-20 PFC'!G409</f>
        <v>3305903000</v>
      </c>
      <c r="H405" s="950">
        <f t="shared" si="17"/>
        <v>112037000</v>
      </c>
      <c r="I405" s="950">
        <f>'Pl 2016-20 PFC'!H409</f>
        <v>0</v>
      </c>
      <c r="J405" s="950">
        <f>'Pl 2016-20 PFC'!I409</f>
        <v>3305903000</v>
      </c>
      <c r="K405" s="950" t="e">
        <f>'Pl 2016-20 PFC'!#REF!</f>
        <v>#REF!</v>
      </c>
      <c r="L405" s="1013"/>
      <c r="M405" s="1014"/>
      <c r="N405" s="1014"/>
      <c r="O405" s="1014"/>
      <c r="P405" s="1014"/>
      <c r="Q405" s="1014"/>
      <c r="R405" s="347"/>
      <c r="S405" s="347"/>
      <c r="T405" s="347"/>
      <c r="U405" s="347"/>
      <c r="V405" s="347"/>
      <c r="W405" s="347"/>
      <c r="X405" s="347"/>
      <c r="Y405" s="347"/>
      <c r="Z405" s="347"/>
      <c r="AA405" s="347"/>
      <c r="AB405" s="347"/>
      <c r="AC405" s="347"/>
      <c r="AD405" s="347"/>
      <c r="AE405" s="347"/>
      <c r="AF405" s="347"/>
      <c r="AG405" s="347"/>
      <c r="AH405" s="347"/>
      <c r="AI405" s="347"/>
      <c r="AJ405" s="347"/>
      <c r="AK405" s="347"/>
      <c r="AL405" s="347"/>
      <c r="AM405" s="347"/>
      <c r="AN405" s="347"/>
      <c r="AO405" s="347"/>
    </row>
    <row r="406" spans="1:41" s="347" customFormat="1" hidden="1">
      <c r="A406" s="779" t="s">
        <v>170</v>
      </c>
      <c r="B406" s="1214" t="s">
        <v>145</v>
      </c>
      <c r="C406" s="1215" t="s">
        <v>171</v>
      </c>
      <c r="D406" s="394">
        <f>'Pl 2016-20 PFC'!D410</f>
        <v>3264133000</v>
      </c>
      <c r="E406" s="950">
        <f>'Pl 2016-20 PFC'!E410</f>
        <v>3263133000</v>
      </c>
      <c r="F406" s="950">
        <f>'Pl 2016-20 PFC'!F410</f>
        <v>3417940000</v>
      </c>
      <c r="G406" s="950">
        <f>'Pl 2016-20 PFC'!G410</f>
        <v>3305903000</v>
      </c>
      <c r="H406" s="950">
        <f t="shared" si="17"/>
        <v>112037000</v>
      </c>
      <c r="I406" s="950">
        <f>'Pl 2016-20 PFC'!H410</f>
        <v>0</v>
      </c>
      <c r="J406" s="950">
        <f>'Pl 2016-20 PFC'!I410</f>
        <v>3305903000</v>
      </c>
      <c r="K406" s="950" t="e">
        <f>'Pl 2016-20 PFC'!#REF!</f>
        <v>#REF!</v>
      </c>
      <c r="L406" s="844"/>
    </row>
    <row r="407" spans="1:41" s="348" customFormat="1" hidden="1">
      <c r="A407" s="779" t="s">
        <v>172</v>
      </c>
      <c r="B407" s="1214" t="s">
        <v>148</v>
      </c>
      <c r="C407" s="1598" t="s">
        <v>173</v>
      </c>
      <c r="D407" s="394">
        <f>'Pl 2016-20 PFC'!D411</f>
        <v>0</v>
      </c>
      <c r="E407" s="950">
        <f>'Pl 2016-20 PFC'!E411</f>
        <v>0</v>
      </c>
      <c r="F407" s="950">
        <f>'Pl 2016-20 PFC'!F411</f>
        <v>0</v>
      </c>
      <c r="G407" s="950">
        <f>'Pl 2016-20 PFC'!G411</f>
        <v>0</v>
      </c>
      <c r="H407" s="950">
        <f t="shared" si="17"/>
        <v>0</v>
      </c>
      <c r="I407" s="950">
        <f>'Pl 2016-20 PFC'!H411</f>
        <v>0</v>
      </c>
      <c r="J407" s="950">
        <f>'Pl 2016-20 PFC'!I411</f>
        <v>0</v>
      </c>
      <c r="K407" s="950" t="e">
        <f>'Pl 2016-20 PFC'!#REF!</f>
        <v>#REF!</v>
      </c>
      <c r="L407" s="844"/>
      <c r="M407" s="347"/>
      <c r="N407" s="347"/>
      <c r="O407" s="347"/>
      <c r="P407" s="347"/>
      <c r="Q407" s="347"/>
      <c r="R407" s="347"/>
      <c r="S407" s="347"/>
      <c r="T407" s="347"/>
      <c r="U407" s="347"/>
      <c r="V407" s="347"/>
      <c r="W407" s="347"/>
      <c r="X407" s="347"/>
      <c r="Y407" s="347"/>
      <c r="Z407" s="347"/>
      <c r="AA407" s="347"/>
      <c r="AB407" s="347"/>
      <c r="AC407" s="347"/>
      <c r="AD407" s="347"/>
      <c r="AE407" s="347"/>
      <c r="AF407" s="347"/>
      <c r="AG407" s="347"/>
      <c r="AH407" s="347"/>
      <c r="AI407" s="347"/>
      <c r="AJ407" s="347"/>
      <c r="AK407" s="347"/>
      <c r="AL407" s="347"/>
      <c r="AM407" s="347"/>
    </row>
    <row r="408" spans="1:41" s="348" customFormat="1" hidden="1">
      <c r="A408" s="779"/>
      <c r="B408" s="1214" t="s">
        <v>380</v>
      </c>
      <c r="C408" s="1598" t="s">
        <v>171</v>
      </c>
      <c r="D408" s="394">
        <f>'Pl 2016-20 PFC'!D412</f>
        <v>94610000</v>
      </c>
      <c r="E408" s="950">
        <f>'Pl 2016-20 PFC'!E412</f>
        <v>94610000</v>
      </c>
      <c r="F408" s="950">
        <f>'Pl 2016-20 PFC'!F412</f>
        <v>105837000</v>
      </c>
      <c r="G408" s="950">
        <f>'Pl 2016-20 PFC'!G412</f>
        <v>97600000</v>
      </c>
      <c r="H408" s="950">
        <f t="shared" si="17"/>
        <v>8237000</v>
      </c>
      <c r="I408" s="950">
        <f>'Pl 2016-20 PFC'!H412</f>
        <v>0</v>
      </c>
      <c r="J408" s="950">
        <f>'Pl 2016-20 PFC'!I412</f>
        <v>97600000</v>
      </c>
      <c r="K408" s="950" t="e">
        <f>'Pl 2016-20 PFC'!#REF!</f>
        <v>#REF!</v>
      </c>
      <c r="L408" s="844"/>
      <c r="M408" s="347"/>
      <c r="N408" s="347"/>
      <c r="O408" s="347"/>
      <c r="P408" s="347"/>
      <c r="Q408" s="347"/>
      <c r="R408" s="347"/>
      <c r="S408" s="347"/>
      <c r="T408" s="347"/>
      <c r="U408" s="347"/>
      <c r="V408" s="347"/>
      <c r="W408" s="347"/>
      <c r="X408" s="347"/>
      <c r="Y408" s="347"/>
      <c r="Z408" s="347"/>
      <c r="AA408" s="347"/>
      <c r="AB408" s="347"/>
      <c r="AC408" s="347"/>
      <c r="AD408" s="347"/>
      <c r="AE408" s="347"/>
      <c r="AF408" s="347"/>
      <c r="AG408" s="347"/>
      <c r="AH408" s="347"/>
      <c r="AI408" s="347"/>
      <c r="AJ408" s="347"/>
      <c r="AK408" s="347"/>
      <c r="AL408" s="347"/>
      <c r="AM408" s="347"/>
    </row>
    <row r="409" spans="1:41" s="348" customFormat="1" hidden="1">
      <c r="A409" s="779"/>
      <c r="B409" s="1214" t="s">
        <v>174</v>
      </c>
      <c r="C409" s="1598" t="s">
        <v>171</v>
      </c>
      <c r="D409" s="394">
        <f>'Pl 2016-20 PFC'!D413</f>
        <v>50000</v>
      </c>
      <c r="E409" s="950">
        <f>'Pl 2016-20 PFC'!E413</f>
        <v>50000</v>
      </c>
      <c r="F409" s="950">
        <f>'Pl 2016-20 PFC'!F413</f>
        <v>50000</v>
      </c>
      <c r="G409" s="950">
        <f>'Pl 2016-20 PFC'!G413</f>
        <v>50000</v>
      </c>
      <c r="H409" s="950">
        <f t="shared" si="17"/>
        <v>0</v>
      </c>
      <c r="I409" s="950">
        <f>'Pl 2016-20 PFC'!H413</f>
        <v>0</v>
      </c>
      <c r="J409" s="950">
        <f>'Pl 2016-20 PFC'!I413</f>
        <v>50000</v>
      </c>
      <c r="K409" s="950" t="e">
        <f>'Pl 2016-20 PFC'!#REF!</f>
        <v>#REF!</v>
      </c>
      <c r="L409" s="844"/>
      <c r="M409" s="347"/>
      <c r="N409" s="347"/>
      <c r="O409" s="347"/>
      <c r="P409" s="347"/>
      <c r="Q409" s="347"/>
      <c r="R409" s="347"/>
      <c r="S409" s="347"/>
      <c r="T409" s="347"/>
      <c r="U409" s="347"/>
      <c r="V409" s="347"/>
      <c r="W409" s="347"/>
      <c r="X409" s="347"/>
      <c r="Y409" s="347"/>
      <c r="Z409" s="347"/>
      <c r="AA409" s="347"/>
      <c r="AB409" s="347"/>
      <c r="AC409" s="347"/>
      <c r="AD409" s="347"/>
      <c r="AE409" s="347"/>
      <c r="AF409" s="347"/>
      <c r="AG409" s="347"/>
      <c r="AH409" s="347"/>
      <c r="AI409" s="347"/>
      <c r="AJ409" s="347"/>
      <c r="AK409" s="347"/>
      <c r="AL409" s="347"/>
      <c r="AM409" s="347"/>
    </row>
    <row r="410" spans="1:41" s="348" customFormat="1" hidden="1">
      <c r="A410" s="779"/>
      <c r="B410" s="1214" t="s">
        <v>175</v>
      </c>
      <c r="C410" s="1598" t="s">
        <v>171</v>
      </c>
      <c r="D410" s="394">
        <f>'Pl 2016-20 PFC'!D414</f>
        <v>89523000</v>
      </c>
      <c r="E410" s="950">
        <f>'Pl 2016-20 PFC'!E414</f>
        <v>89523000</v>
      </c>
      <c r="F410" s="950">
        <f>'Pl 2016-20 PFC'!F414</f>
        <v>100844000</v>
      </c>
      <c r="G410" s="950">
        <f>'Pl 2016-20 PFC'!G414</f>
        <v>92607000</v>
      </c>
      <c r="H410" s="950">
        <f t="shared" si="17"/>
        <v>8237000</v>
      </c>
      <c r="I410" s="950">
        <f>'Pl 2016-20 PFC'!H414</f>
        <v>0</v>
      </c>
      <c r="J410" s="950">
        <f>'Pl 2016-20 PFC'!I414</f>
        <v>92607000</v>
      </c>
      <c r="K410" s="950" t="e">
        <f>'Pl 2016-20 PFC'!#REF!</f>
        <v>#REF!</v>
      </c>
      <c r="L410" s="844"/>
      <c r="M410" s="347"/>
      <c r="N410" s="347"/>
      <c r="O410" s="347"/>
      <c r="P410" s="347"/>
      <c r="Q410" s="347"/>
      <c r="R410" s="347"/>
      <c r="S410" s="347"/>
      <c r="T410" s="347"/>
      <c r="U410" s="347"/>
      <c r="V410" s="347"/>
      <c r="W410" s="347"/>
      <c r="X410" s="347"/>
      <c r="Y410" s="347"/>
      <c r="Z410" s="347"/>
      <c r="AA410" s="347"/>
      <c r="AB410" s="347"/>
      <c r="AC410" s="347"/>
      <c r="AD410" s="347"/>
      <c r="AE410" s="347"/>
      <c r="AF410" s="347"/>
      <c r="AG410" s="347"/>
      <c r="AH410" s="347"/>
      <c r="AI410" s="347"/>
      <c r="AJ410" s="347"/>
      <c r="AK410" s="347"/>
      <c r="AL410" s="347"/>
      <c r="AM410" s="347"/>
    </row>
    <row r="411" spans="1:41" s="348" customFormat="1" hidden="1">
      <c r="A411" s="779"/>
      <c r="B411" s="1214" t="s">
        <v>176</v>
      </c>
      <c r="C411" s="1598" t="s">
        <v>171</v>
      </c>
      <c r="D411" s="394">
        <f>'Pl 2016-20 PFC'!D415</f>
        <v>5037000</v>
      </c>
      <c r="E411" s="950">
        <f>'Pl 2016-20 PFC'!E415</f>
        <v>5037000</v>
      </c>
      <c r="F411" s="950">
        <f>'Pl 2016-20 PFC'!F415</f>
        <v>4943000</v>
      </c>
      <c r="G411" s="950">
        <f>'Pl 2016-20 PFC'!G415</f>
        <v>4943000</v>
      </c>
      <c r="H411" s="950">
        <f t="shared" ref="H411:H474" si="18">F411-G411</f>
        <v>0</v>
      </c>
      <c r="I411" s="950">
        <f>'Pl 2016-20 PFC'!H415</f>
        <v>0</v>
      </c>
      <c r="J411" s="950">
        <f>'Pl 2016-20 PFC'!I415</f>
        <v>4943000</v>
      </c>
      <c r="K411" s="950" t="e">
        <f>'Pl 2016-20 PFC'!#REF!</f>
        <v>#REF!</v>
      </c>
      <c r="L411" s="844"/>
      <c r="M411" s="347"/>
      <c r="N411" s="347"/>
      <c r="O411" s="347"/>
      <c r="P411" s="347"/>
      <c r="Q411" s="347"/>
      <c r="R411" s="347"/>
      <c r="S411" s="347"/>
      <c r="T411" s="347"/>
      <c r="U411" s="347"/>
      <c r="V411" s="347"/>
      <c r="W411" s="347"/>
      <c r="X411" s="347"/>
      <c r="Y411" s="347"/>
      <c r="Z411" s="347"/>
      <c r="AA411" s="347"/>
      <c r="AB411" s="347"/>
      <c r="AC411" s="347"/>
      <c r="AD411" s="347"/>
      <c r="AE411" s="347"/>
      <c r="AF411" s="347"/>
      <c r="AG411" s="347"/>
      <c r="AH411" s="347"/>
      <c r="AI411" s="347"/>
      <c r="AJ411" s="347"/>
      <c r="AK411" s="347"/>
      <c r="AL411" s="347"/>
      <c r="AM411" s="347"/>
    </row>
    <row r="412" spans="1:41" s="348" customFormat="1" hidden="1">
      <c r="A412" s="779"/>
      <c r="B412" s="1214" t="s">
        <v>370</v>
      </c>
      <c r="C412" s="1598" t="s">
        <v>173</v>
      </c>
      <c r="D412" s="394">
        <f>'Pl 2016-20 PFC'!D416</f>
        <v>0</v>
      </c>
      <c r="E412" s="950">
        <f>'Pl 2016-20 PFC'!E416</f>
        <v>0</v>
      </c>
      <c r="F412" s="950">
        <f>'Pl 2016-20 PFC'!F416</f>
        <v>0</v>
      </c>
      <c r="G412" s="950">
        <f>'Pl 2016-20 PFC'!G416</f>
        <v>0</v>
      </c>
      <c r="H412" s="950">
        <f t="shared" si="18"/>
        <v>0</v>
      </c>
      <c r="I412" s="950">
        <f>'Pl 2016-20 PFC'!H416</f>
        <v>0</v>
      </c>
      <c r="J412" s="950">
        <f>'Pl 2016-20 PFC'!I416</f>
        <v>0</v>
      </c>
      <c r="K412" s="950" t="e">
        <f>'Pl 2016-20 PFC'!#REF!</f>
        <v>#REF!</v>
      </c>
      <c r="L412" s="844"/>
      <c r="M412" s="347"/>
      <c r="N412" s="347"/>
      <c r="O412" s="347"/>
      <c r="P412" s="347"/>
      <c r="Q412" s="347"/>
      <c r="R412" s="347"/>
      <c r="S412" s="347"/>
      <c r="T412" s="347"/>
      <c r="U412" s="347"/>
      <c r="V412" s="347"/>
      <c r="W412" s="347"/>
      <c r="X412" s="347"/>
      <c r="Y412" s="347"/>
      <c r="Z412" s="347"/>
      <c r="AA412" s="347"/>
      <c r="AB412" s="347"/>
      <c r="AC412" s="347"/>
      <c r="AD412" s="347"/>
      <c r="AE412" s="347"/>
      <c r="AF412" s="347"/>
      <c r="AG412" s="347"/>
      <c r="AH412" s="347"/>
      <c r="AI412" s="347"/>
      <c r="AJ412" s="347"/>
      <c r="AK412" s="347"/>
      <c r="AL412" s="347"/>
      <c r="AM412" s="347"/>
    </row>
    <row r="413" spans="1:41" s="348" customFormat="1" hidden="1">
      <c r="A413" s="779"/>
      <c r="B413" s="1214" t="s">
        <v>371</v>
      </c>
      <c r="C413" s="1598"/>
      <c r="D413" s="394">
        <f>'Pl 2016-20 PFC'!D417</f>
        <v>79000</v>
      </c>
      <c r="E413" s="950">
        <f>'Pl 2016-20 PFC'!E417</f>
        <v>79000</v>
      </c>
      <c r="F413" s="950">
        <f>'Pl 2016-20 PFC'!F417</f>
        <v>2400000</v>
      </c>
      <c r="G413" s="950">
        <f>'Pl 2016-20 PFC'!G417</f>
        <v>1400000</v>
      </c>
      <c r="H413" s="950">
        <f t="shared" si="18"/>
        <v>1000000</v>
      </c>
      <c r="I413" s="950">
        <f>'Pl 2016-20 PFC'!H417</f>
        <v>0</v>
      </c>
      <c r="J413" s="950">
        <f>'Pl 2016-20 PFC'!I417</f>
        <v>1400000</v>
      </c>
      <c r="K413" s="950" t="e">
        <f>'Pl 2016-20 PFC'!#REF!</f>
        <v>#REF!</v>
      </c>
      <c r="L413" s="844"/>
      <c r="M413" s="347"/>
      <c r="N413" s="347"/>
      <c r="O413" s="347"/>
      <c r="P413" s="347"/>
      <c r="Q413" s="347"/>
      <c r="R413" s="347"/>
      <c r="S413" s="347"/>
      <c r="T413" s="347"/>
      <c r="U413" s="347"/>
      <c r="V413" s="347"/>
      <c r="W413" s="347"/>
      <c r="X413" s="347"/>
      <c r="Y413" s="347"/>
      <c r="Z413" s="347"/>
      <c r="AA413" s="347"/>
      <c r="AB413" s="347"/>
      <c r="AC413" s="347"/>
      <c r="AD413" s="347"/>
      <c r="AE413" s="347"/>
      <c r="AF413" s="347"/>
      <c r="AG413" s="347"/>
      <c r="AH413" s="347"/>
      <c r="AI413" s="347"/>
      <c r="AJ413" s="347"/>
      <c r="AK413" s="347"/>
      <c r="AL413" s="347"/>
      <c r="AM413" s="347"/>
    </row>
    <row r="414" spans="1:41" s="348" customFormat="1" hidden="1">
      <c r="A414" s="779"/>
      <c r="B414" s="1214" t="s">
        <v>381</v>
      </c>
      <c r="C414" s="1598"/>
      <c r="D414" s="394">
        <f>'Pl 2016-20 PFC'!D418</f>
        <v>3000000</v>
      </c>
      <c r="E414" s="950">
        <f>'Pl 2016-20 PFC'!E418</f>
        <v>2000000</v>
      </c>
      <c r="F414" s="950">
        <f>'Pl 2016-20 PFC'!F418</f>
        <v>3000000</v>
      </c>
      <c r="G414" s="950">
        <f>'Pl 2016-20 PFC'!G418</f>
        <v>2500000</v>
      </c>
      <c r="H414" s="950">
        <f t="shared" si="18"/>
        <v>500000</v>
      </c>
      <c r="I414" s="950">
        <f>'Pl 2016-20 PFC'!H418</f>
        <v>0</v>
      </c>
      <c r="J414" s="950">
        <f>'Pl 2016-20 PFC'!I418</f>
        <v>2500000</v>
      </c>
      <c r="K414" s="950" t="e">
        <f>'Pl 2016-20 PFC'!#REF!</f>
        <v>#REF!</v>
      </c>
      <c r="L414" s="844"/>
      <c r="M414" s="347"/>
      <c r="N414" s="347"/>
      <c r="O414" s="347"/>
      <c r="P414" s="347"/>
      <c r="Q414" s="347"/>
      <c r="R414" s="347"/>
      <c r="S414" s="347"/>
      <c r="T414" s="347"/>
      <c r="U414" s="347"/>
      <c r="V414" s="347"/>
      <c r="W414" s="347"/>
      <c r="X414" s="347"/>
      <c r="Y414" s="347"/>
      <c r="Z414" s="347"/>
      <c r="AA414" s="347"/>
      <c r="AB414" s="347"/>
      <c r="AC414" s="347"/>
      <c r="AD414" s="347"/>
      <c r="AE414" s="347"/>
      <c r="AF414" s="347"/>
      <c r="AG414" s="347"/>
      <c r="AH414" s="347"/>
      <c r="AI414" s="347"/>
      <c r="AJ414" s="347"/>
      <c r="AK414" s="347"/>
      <c r="AL414" s="347"/>
      <c r="AM414" s="347"/>
    </row>
    <row r="415" spans="1:41" s="348" customFormat="1" ht="31.2" hidden="1">
      <c r="A415" s="779"/>
      <c r="B415" s="1214" t="s">
        <v>382</v>
      </c>
      <c r="C415" s="1598"/>
      <c r="D415" s="394">
        <f>'Pl 2016-20 PFC'!D419</f>
        <v>5000000</v>
      </c>
      <c r="E415" s="950">
        <f>'Pl 2016-20 PFC'!E419</f>
        <v>5000000</v>
      </c>
      <c r="F415" s="950">
        <f>'Pl 2016-20 PFC'!F419</f>
        <v>9000000</v>
      </c>
      <c r="G415" s="950">
        <f>'Pl 2016-20 PFC'!G419</f>
        <v>6500000</v>
      </c>
      <c r="H415" s="950">
        <f t="shared" si="18"/>
        <v>2500000</v>
      </c>
      <c r="I415" s="950">
        <f>'Pl 2016-20 PFC'!H419</f>
        <v>0</v>
      </c>
      <c r="J415" s="950">
        <f>'Pl 2016-20 PFC'!I419</f>
        <v>6500000</v>
      </c>
      <c r="K415" s="950" t="e">
        <f>'Pl 2016-20 PFC'!#REF!</f>
        <v>#REF!</v>
      </c>
      <c r="L415" s="844"/>
      <c r="M415" s="347"/>
      <c r="N415" s="347"/>
      <c r="O415" s="347"/>
      <c r="P415" s="347"/>
      <c r="Q415" s="347"/>
      <c r="R415" s="347"/>
      <c r="S415" s="347"/>
      <c r="T415" s="347"/>
      <c r="U415" s="347"/>
      <c r="V415" s="347"/>
      <c r="W415" s="347"/>
      <c r="X415" s="347"/>
      <c r="Y415" s="347"/>
      <c r="Z415" s="347"/>
      <c r="AA415" s="347"/>
      <c r="AB415" s="347"/>
      <c r="AC415" s="347"/>
      <c r="AD415" s="347"/>
      <c r="AE415" s="347"/>
      <c r="AF415" s="347"/>
      <c r="AG415" s="347"/>
      <c r="AH415" s="347"/>
      <c r="AI415" s="347"/>
      <c r="AJ415" s="347"/>
      <c r="AK415" s="347"/>
      <c r="AL415" s="347"/>
      <c r="AM415" s="347"/>
    </row>
    <row r="416" spans="1:41" s="348" customFormat="1" hidden="1">
      <c r="A416" s="779"/>
      <c r="B416" s="1214" t="s">
        <v>383</v>
      </c>
      <c r="C416" s="1598" t="s">
        <v>171</v>
      </c>
      <c r="D416" s="394">
        <f>'Pl 2016-20 PFC'!D420</f>
        <v>2980196000</v>
      </c>
      <c r="E416" s="950">
        <f>'Pl 2016-20 PFC'!E420</f>
        <v>2980196000</v>
      </c>
      <c r="F416" s="950">
        <f>'Pl 2016-20 PFC'!F420</f>
        <v>3020000000</v>
      </c>
      <c r="G416" s="950">
        <f>'Pl 2016-20 PFC'!G420</f>
        <v>2985000000</v>
      </c>
      <c r="H416" s="950">
        <f t="shared" si="18"/>
        <v>35000000</v>
      </c>
      <c r="I416" s="950">
        <f>'Pl 2016-20 PFC'!H420</f>
        <v>0</v>
      </c>
      <c r="J416" s="950">
        <f>'Pl 2016-20 PFC'!I420</f>
        <v>2985000000</v>
      </c>
      <c r="K416" s="950" t="e">
        <f>'Pl 2016-20 PFC'!#REF!</f>
        <v>#REF!</v>
      </c>
      <c r="L416" s="844"/>
      <c r="M416" s="347"/>
      <c r="N416" s="347"/>
      <c r="O416" s="347"/>
      <c r="P416" s="347"/>
      <c r="Q416" s="347"/>
      <c r="R416" s="347"/>
      <c r="S416" s="347"/>
      <c r="T416" s="347"/>
      <c r="U416" s="347"/>
      <c r="V416" s="347"/>
      <c r="W416" s="347"/>
      <c r="X416" s="347"/>
      <c r="Y416" s="347"/>
      <c r="Z416" s="347"/>
      <c r="AA416" s="347"/>
      <c r="AB416" s="347"/>
      <c r="AC416" s="347"/>
      <c r="AD416" s="347"/>
      <c r="AE416" s="347"/>
      <c r="AF416" s="347"/>
      <c r="AG416" s="347"/>
      <c r="AH416" s="347"/>
      <c r="AI416" s="347"/>
      <c r="AJ416" s="347"/>
      <c r="AK416" s="347"/>
      <c r="AL416" s="347"/>
      <c r="AM416" s="347"/>
    </row>
    <row r="417" spans="1:39" s="348" customFormat="1" hidden="1">
      <c r="A417" s="779"/>
      <c r="B417" s="1214" t="s">
        <v>373</v>
      </c>
      <c r="C417" s="1598" t="s">
        <v>171</v>
      </c>
      <c r="D417" s="394">
        <f>'Pl 2016-20 PFC'!D421</f>
        <v>3000</v>
      </c>
      <c r="E417" s="950">
        <f>'Pl 2016-20 PFC'!E421</f>
        <v>3000</v>
      </c>
      <c r="F417" s="950">
        <f>'Pl 2016-20 PFC'!F421</f>
        <v>3000</v>
      </c>
      <c r="G417" s="950">
        <f>'Pl 2016-20 PFC'!G421</f>
        <v>3000</v>
      </c>
      <c r="H417" s="950">
        <f t="shared" si="18"/>
        <v>0</v>
      </c>
      <c r="I417" s="950">
        <f>'Pl 2016-20 PFC'!H421</f>
        <v>0</v>
      </c>
      <c r="J417" s="950">
        <f>'Pl 2016-20 PFC'!I421</f>
        <v>3000</v>
      </c>
      <c r="K417" s="950" t="e">
        <f>'Pl 2016-20 PFC'!#REF!</f>
        <v>#REF!</v>
      </c>
      <c r="L417" s="844"/>
      <c r="M417" s="347"/>
      <c r="N417" s="347"/>
      <c r="O417" s="347"/>
      <c r="P417" s="347"/>
      <c r="Q417" s="347"/>
      <c r="R417" s="347"/>
      <c r="S417" s="347"/>
      <c r="T417" s="347"/>
      <c r="U417" s="347"/>
      <c r="V417" s="347"/>
      <c r="W417" s="347"/>
      <c r="X417" s="347"/>
      <c r="Y417" s="347"/>
      <c r="Z417" s="347"/>
      <c r="AA417" s="347"/>
      <c r="AB417" s="347"/>
      <c r="AC417" s="347"/>
      <c r="AD417" s="347"/>
      <c r="AE417" s="347"/>
      <c r="AF417" s="347"/>
      <c r="AG417" s="347"/>
      <c r="AH417" s="347"/>
      <c r="AI417" s="347"/>
      <c r="AJ417" s="347"/>
      <c r="AK417" s="347"/>
      <c r="AL417" s="347"/>
      <c r="AM417" s="347"/>
    </row>
    <row r="418" spans="1:39" s="348" customFormat="1" hidden="1">
      <c r="A418" s="779"/>
      <c r="B418" s="1214" t="s">
        <v>384</v>
      </c>
      <c r="C418" s="1598" t="s">
        <v>171</v>
      </c>
      <c r="D418" s="394">
        <f>'Pl 2016-20 PFC'!D422</f>
        <v>2500000</v>
      </c>
      <c r="E418" s="950">
        <f>'Pl 2016-20 PFC'!E422</f>
        <v>2500000</v>
      </c>
      <c r="F418" s="950">
        <f>'Pl 2016-20 PFC'!F422</f>
        <v>2500000</v>
      </c>
      <c r="G418" s="950">
        <f>'Pl 2016-20 PFC'!G422</f>
        <v>2000000</v>
      </c>
      <c r="H418" s="950">
        <f t="shared" si="18"/>
        <v>500000</v>
      </c>
      <c r="I418" s="950">
        <f>'Pl 2016-20 PFC'!H422</f>
        <v>0</v>
      </c>
      <c r="J418" s="950">
        <f>'Pl 2016-20 PFC'!I422</f>
        <v>2000000</v>
      </c>
      <c r="K418" s="950" t="e">
        <f>'Pl 2016-20 PFC'!#REF!</f>
        <v>#REF!</v>
      </c>
      <c r="L418" s="844"/>
      <c r="M418" s="347"/>
      <c r="N418" s="347"/>
      <c r="O418" s="347"/>
      <c r="P418" s="347"/>
      <c r="Q418" s="347"/>
      <c r="R418" s="347"/>
      <c r="S418" s="347"/>
      <c r="T418" s="347"/>
      <c r="U418" s="347"/>
      <c r="V418" s="347"/>
      <c r="W418" s="347"/>
      <c r="X418" s="347"/>
      <c r="Y418" s="347"/>
      <c r="Z418" s="347"/>
      <c r="AA418" s="347"/>
      <c r="AB418" s="347"/>
      <c r="AC418" s="347"/>
      <c r="AD418" s="347"/>
      <c r="AE418" s="347"/>
      <c r="AF418" s="347"/>
      <c r="AG418" s="347"/>
      <c r="AH418" s="347"/>
      <c r="AI418" s="347"/>
      <c r="AJ418" s="347"/>
      <c r="AK418" s="347"/>
      <c r="AL418" s="347"/>
      <c r="AM418" s="347"/>
    </row>
    <row r="419" spans="1:39" s="348" customFormat="1" hidden="1">
      <c r="A419" s="779"/>
      <c r="B419" s="1214" t="s">
        <v>177</v>
      </c>
      <c r="C419" s="1598" t="s">
        <v>171</v>
      </c>
      <c r="D419" s="394">
        <f>'Pl 2016-20 PFC'!D423</f>
        <v>171545000</v>
      </c>
      <c r="E419" s="950">
        <f>'Pl 2016-20 PFC'!E423</f>
        <v>171545000</v>
      </c>
      <c r="F419" s="950">
        <f>'Pl 2016-20 PFC'!F423</f>
        <v>271600000</v>
      </c>
      <c r="G419" s="950">
        <f>'Pl 2016-20 PFC'!G423</f>
        <v>207300000</v>
      </c>
      <c r="H419" s="950">
        <f t="shared" si="18"/>
        <v>64300000</v>
      </c>
      <c r="I419" s="950">
        <f>'Pl 2016-20 PFC'!H423</f>
        <v>0</v>
      </c>
      <c r="J419" s="950">
        <f>'Pl 2016-20 PFC'!I423</f>
        <v>207300000</v>
      </c>
      <c r="K419" s="950" t="e">
        <f>'Pl 2016-20 PFC'!#REF!</f>
        <v>#REF!</v>
      </c>
      <c r="L419" s="844"/>
      <c r="M419" s="347"/>
      <c r="N419" s="347"/>
      <c r="O419" s="347"/>
      <c r="P419" s="347"/>
      <c r="Q419" s="347"/>
      <c r="R419" s="347"/>
      <c r="S419" s="347"/>
      <c r="T419" s="347"/>
      <c r="U419" s="347"/>
      <c r="V419" s="347"/>
      <c r="W419" s="347"/>
      <c r="X419" s="347"/>
      <c r="Y419" s="347"/>
      <c r="Z419" s="347"/>
      <c r="AA419" s="347"/>
      <c r="AB419" s="347"/>
      <c r="AC419" s="347"/>
      <c r="AD419" s="347"/>
      <c r="AE419" s="347"/>
      <c r="AF419" s="347"/>
      <c r="AG419" s="347"/>
      <c r="AH419" s="347"/>
      <c r="AI419" s="347"/>
      <c r="AJ419" s="347"/>
      <c r="AK419" s="347"/>
      <c r="AL419" s="347"/>
      <c r="AM419" s="347"/>
    </row>
    <row r="420" spans="1:39" s="348" customFormat="1" ht="31.2" hidden="1">
      <c r="A420" s="779"/>
      <c r="B420" s="1214" t="s">
        <v>385</v>
      </c>
      <c r="C420" s="1598" t="s">
        <v>171</v>
      </c>
      <c r="D420" s="394">
        <f>'Pl 2016-20 PFC'!D424</f>
        <v>7200000</v>
      </c>
      <c r="E420" s="950">
        <f>'Pl 2016-20 PFC'!E424</f>
        <v>7200000</v>
      </c>
      <c r="F420" s="950">
        <f>'Pl 2016-20 PFC'!F424</f>
        <v>3600000</v>
      </c>
      <c r="G420" s="950">
        <f>'Pl 2016-20 PFC'!G424</f>
        <v>3600000</v>
      </c>
      <c r="H420" s="950">
        <f t="shared" si="18"/>
        <v>0</v>
      </c>
      <c r="I420" s="950">
        <f>'Pl 2016-20 PFC'!H424</f>
        <v>0</v>
      </c>
      <c r="J420" s="950">
        <f>'Pl 2016-20 PFC'!I424</f>
        <v>3600000</v>
      </c>
      <c r="K420" s="950" t="e">
        <f>'Pl 2016-20 PFC'!#REF!</f>
        <v>#REF!</v>
      </c>
      <c r="L420" s="844"/>
      <c r="M420" s="347"/>
      <c r="N420" s="347"/>
      <c r="O420" s="347"/>
      <c r="P420" s="347"/>
      <c r="Q420" s="347"/>
      <c r="R420" s="347"/>
      <c r="S420" s="347"/>
      <c r="T420" s="347"/>
      <c r="U420" s="347"/>
      <c r="V420" s="347"/>
      <c r="W420" s="347"/>
      <c r="X420" s="347"/>
      <c r="Y420" s="347"/>
      <c r="Z420" s="347"/>
      <c r="AA420" s="347"/>
      <c r="AB420" s="347"/>
      <c r="AC420" s="347"/>
      <c r="AD420" s="347"/>
      <c r="AE420" s="347"/>
      <c r="AF420" s="347"/>
      <c r="AG420" s="347"/>
      <c r="AH420" s="347"/>
      <c r="AI420" s="347"/>
      <c r="AJ420" s="347"/>
      <c r="AK420" s="347"/>
      <c r="AL420" s="347"/>
      <c r="AM420" s="347"/>
    </row>
    <row r="421" spans="1:39" s="348" customFormat="1" hidden="1">
      <c r="A421" s="779"/>
      <c r="B421" s="1214" t="s">
        <v>159</v>
      </c>
      <c r="C421" s="1598"/>
      <c r="D421" s="394">
        <f>'Pl 2016-20 PFC'!D425</f>
        <v>0</v>
      </c>
      <c r="E421" s="950">
        <f>'Pl 2016-20 PFC'!E425</f>
        <v>0</v>
      </c>
      <c r="F421" s="950">
        <f>'Pl 2016-20 PFC'!F425</f>
        <v>0</v>
      </c>
      <c r="G421" s="950">
        <f>'Pl 2016-20 PFC'!G425</f>
        <v>0</v>
      </c>
      <c r="H421" s="950">
        <f t="shared" si="18"/>
        <v>0</v>
      </c>
      <c r="I421" s="950">
        <f>'Pl 2016-20 PFC'!H425</f>
        <v>0</v>
      </c>
      <c r="J421" s="950">
        <f>'Pl 2016-20 PFC'!I425</f>
        <v>0</v>
      </c>
      <c r="K421" s="950" t="e">
        <f>'Pl 2016-20 PFC'!#REF!</f>
        <v>#REF!</v>
      </c>
      <c r="L421" s="844"/>
      <c r="M421" s="347"/>
      <c r="N421" s="347"/>
      <c r="O421" s="347"/>
      <c r="P421" s="347"/>
      <c r="Q421" s="347"/>
      <c r="R421" s="347"/>
      <c r="S421" s="347"/>
      <c r="T421" s="347"/>
      <c r="U421" s="347"/>
      <c r="V421" s="347"/>
      <c r="W421" s="347"/>
      <c r="X421" s="347"/>
      <c r="Y421" s="347"/>
      <c r="Z421" s="347"/>
      <c r="AA421" s="347"/>
      <c r="AB421" s="347"/>
      <c r="AC421" s="347"/>
      <c r="AD421" s="347"/>
      <c r="AE421" s="347"/>
      <c r="AF421" s="347"/>
      <c r="AG421" s="347"/>
      <c r="AH421" s="347"/>
      <c r="AI421" s="347"/>
      <c r="AJ421" s="347"/>
      <c r="AK421" s="347"/>
      <c r="AL421" s="347"/>
      <c r="AM421" s="347"/>
    </row>
    <row r="422" spans="1:39" s="348" customFormat="1" hidden="1">
      <c r="A422" s="779"/>
      <c r="B422" s="1214" t="s">
        <v>279</v>
      </c>
      <c r="C422" s="1598"/>
      <c r="D422" s="394">
        <f>'Pl 2016-20 PFC'!D426</f>
        <v>0</v>
      </c>
      <c r="E422" s="950">
        <f>'Pl 2016-20 PFC'!E426</f>
        <v>0</v>
      </c>
      <c r="F422" s="950">
        <f>'Pl 2016-20 PFC'!F426</f>
        <v>0</v>
      </c>
      <c r="G422" s="950">
        <f>'Pl 2016-20 PFC'!G426</f>
        <v>0</v>
      </c>
      <c r="H422" s="950">
        <f t="shared" si="18"/>
        <v>0</v>
      </c>
      <c r="I422" s="950">
        <f>'Pl 2016-20 PFC'!H426</f>
        <v>0</v>
      </c>
      <c r="J422" s="950">
        <f>'Pl 2016-20 PFC'!I426</f>
        <v>0</v>
      </c>
      <c r="K422" s="950" t="e">
        <f>'Pl 2016-20 PFC'!#REF!</f>
        <v>#REF!</v>
      </c>
      <c r="L422" s="844"/>
      <c r="M422" s="347"/>
      <c r="N422" s="347"/>
      <c r="O422" s="347"/>
      <c r="P422" s="347"/>
      <c r="Q422" s="347"/>
      <c r="R422" s="347"/>
      <c r="S422" s="347"/>
      <c r="T422" s="347"/>
      <c r="U422" s="347"/>
      <c r="V422" s="347"/>
      <c r="W422" s="347"/>
      <c r="X422" s="347"/>
      <c r="Y422" s="347"/>
      <c r="Z422" s="347"/>
      <c r="AA422" s="347"/>
      <c r="AB422" s="347"/>
      <c r="AC422" s="347"/>
      <c r="AD422" s="347"/>
      <c r="AE422" s="347"/>
      <c r="AF422" s="347"/>
      <c r="AG422" s="347"/>
      <c r="AH422" s="347"/>
      <c r="AI422" s="347"/>
      <c r="AJ422" s="347"/>
      <c r="AK422" s="347"/>
      <c r="AL422" s="347"/>
      <c r="AM422" s="347"/>
    </row>
    <row r="423" spans="1:39" s="348" customFormat="1" hidden="1">
      <c r="A423" s="779"/>
      <c r="B423" s="1214" t="s">
        <v>157</v>
      </c>
      <c r="C423" s="1598"/>
      <c r="D423" s="394">
        <f>'Pl 2016-20 PFC'!D427</f>
        <v>0</v>
      </c>
      <c r="E423" s="950">
        <f>'Pl 2016-20 PFC'!E427</f>
        <v>0</v>
      </c>
      <c r="F423" s="950">
        <f>'Pl 2016-20 PFC'!F427</f>
        <v>0</v>
      </c>
      <c r="G423" s="950">
        <f>'Pl 2016-20 PFC'!G427</f>
        <v>0</v>
      </c>
      <c r="H423" s="950">
        <f t="shared" si="18"/>
        <v>0</v>
      </c>
      <c r="I423" s="950">
        <f>'Pl 2016-20 PFC'!H427</f>
        <v>0</v>
      </c>
      <c r="J423" s="950">
        <f>'Pl 2016-20 PFC'!I427</f>
        <v>0</v>
      </c>
      <c r="K423" s="950" t="e">
        <f>'Pl 2016-20 PFC'!#REF!</f>
        <v>#REF!</v>
      </c>
      <c r="L423" s="844"/>
      <c r="M423" s="347"/>
      <c r="N423" s="347"/>
      <c r="O423" s="347"/>
      <c r="P423" s="347"/>
      <c r="Q423" s="347"/>
      <c r="R423" s="347"/>
      <c r="S423" s="347"/>
      <c r="T423" s="347"/>
      <c r="U423" s="347"/>
      <c r="V423" s="347"/>
      <c r="W423" s="347"/>
      <c r="X423" s="347"/>
      <c r="Y423" s="347"/>
      <c r="Z423" s="347"/>
      <c r="AA423" s="347"/>
      <c r="AB423" s="347"/>
      <c r="AC423" s="347"/>
      <c r="AD423" s="347"/>
      <c r="AE423" s="347"/>
      <c r="AF423" s="347"/>
      <c r="AG423" s="347"/>
      <c r="AH423" s="347"/>
      <c r="AI423" s="347"/>
      <c r="AJ423" s="347"/>
      <c r="AK423" s="347"/>
      <c r="AL423" s="347"/>
      <c r="AM423" s="347"/>
    </row>
    <row r="424" spans="1:39" s="348" customFormat="1" hidden="1">
      <c r="A424" s="779"/>
      <c r="B424" s="1214" t="s">
        <v>158</v>
      </c>
      <c r="C424" s="1598"/>
      <c r="D424" s="394">
        <f>'Pl 2016-20 PFC'!D428</f>
        <v>0</v>
      </c>
      <c r="E424" s="950">
        <f>'Pl 2016-20 PFC'!E428</f>
        <v>0</v>
      </c>
      <c r="F424" s="950">
        <f>'Pl 2016-20 PFC'!F428</f>
        <v>0</v>
      </c>
      <c r="G424" s="950">
        <f>'Pl 2016-20 PFC'!G428</f>
        <v>0</v>
      </c>
      <c r="H424" s="950">
        <f t="shared" si="18"/>
        <v>0</v>
      </c>
      <c r="I424" s="950">
        <f>'Pl 2016-20 PFC'!H428</f>
        <v>0</v>
      </c>
      <c r="J424" s="950">
        <f>'Pl 2016-20 PFC'!I428</f>
        <v>0</v>
      </c>
      <c r="K424" s="950" t="e">
        <f>'Pl 2016-20 PFC'!#REF!</f>
        <v>#REF!</v>
      </c>
      <c r="L424" s="844"/>
      <c r="M424" s="347"/>
      <c r="N424" s="347"/>
      <c r="O424" s="347"/>
      <c r="P424" s="347"/>
      <c r="Q424" s="347"/>
      <c r="R424" s="347"/>
      <c r="S424" s="347"/>
      <c r="T424" s="347"/>
      <c r="U424" s="347"/>
      <c r="V424" s="347"/>
      <c r="W424" s="347"/>
      <c r="X424" s="347"/>
      <c r="Y424" s="347"/>
      <c r="Z424" s="347"/>
      <c r="AA424" s="347"/>
      <c r="AB424" s="347"/>
      <c r="AC424" s="347"/>
      <c r="AD424" s="347"/>
      <c r="AE424" s="347"/>
      <c r="AF424" s="347"/>
      <c r="AG424" s="347"/>
      <c r="AH424" s="347"/>
      <c r="AI424" s="347"/>
      <c r="AJ424" s="347"/>
      <c r="AK424" s="347"/>
      <c r="AL424" s="347"/>
      <c r="AM424" s="347"/>
    </row>
    <row r="425" spans="1:39" s="348" customFormat="1" hidden="1">
      <c r="A425" s="779"/>
      <c r="B425" s="1214" t="s">
        <v>165</v>
      </c>
      <c r="C425" s="1598"/>
      <c r="D425" s="394">
        <f>'Pl 2016-20 PFC'!D429</f>
        <v>0</v>
      </c>
      <c r="E425" s="950">
        <f>'Pl 2016-20 PFC'!E429</f>
        <v>0</v>
      </c>
      <c r="F425" s="950">
        <f>'Pl 2016-20 PFC'!F429</f>
        <v>300000</v>
      </c>
      <c r="G425" s="950">
        <f>'Pl 2016-20 PFC'!G429</f>
        <v>300000</v>
      </c>
      <c r="H425" s="950">
        <f t="shared" si="18"/>
        <v>0</v>
      </c>
      <c r="I425" s="950">
        <f>'Pl 2016-20 PFC'!H429</f>
        <v>0</v>
      </c>
      <c r="J425" s="950">
        <f>'Pl 2016-20 PFC'!I429</f>
        <v>300000</v>
      </c>
      <c r="K425" s="950" t="e">
        <f>'Pl 2016-20 PFC'!#REF!</f>
        <v>#REF!</v>
      </c>
      <c r="L425" s="844"/>
      <c r="M425" s="347"/>
      <c r="N425" s="347"/>
      <c r="O425" s="347"/>
      <c r="P425" s="347"/>
      <c r="Q425" s="347"/>
      <c r="R425" s="347"/>
      <c r="S425" s="347"/>
      <c r="T425" s="347"/>
      <c r="U425" s="347"/>
      <c r="V425" s="347"/>
      <c r="W425" s="347"/>
      <c r="X425" s="347"/>
      <c r="Y425" s="347"/>
      <c r="Z425" s="347"/>
      <c r="AA425" s="347"/>
      <c r="AB425" s="347"/>
      <c r="AC425" s="347"/>
      <c r="AD425" s="347"/>
      <c r="AE425" s="347"/>
      <c r="AF425" s="347"/>
      <c r="AG425" s="347"/>
      <c r="AH425" s="347"/>
      <c r="AI425" s="347"/>
      <c r="AJ425" s="347"/>
      <c r="AK425" s="347"/>
      <c r="AL425" s="347"/>
      <c r="AM425" s="347"/>
    </row>
    <row r="426" spans="1:39" s="348" customFormat="1" hidden="1">
      <c r="A426" s="779"/>
      <c r="B426" s="1214" t="s">
        <v>178</v>
      </c>
      <c r="C426" s="1598"/>
      <c r="D426" s="394">
        <f>'Pl 2016-20 PFC'!D430</f>
        <v>0</v>
      </c>
      <c r="E426" s="950">
        <f>'Pl 2016-20 PFC'!E430</f>
        <v>0</v>
      </c>
      <c r="F426" s="950">
        <f>'Pl 2016-20 PFC'!F430</f>
        <v>0</v>
      </c>
      <c r="G426" s="950">
        <f>'Pl 2016-20 PFC'!G430</f>
        <v>0</v>
      </c>
      <c r="H426" s="950">
        <f t="shared" si="18"/>
        <v>0</v>
      </c>
      <c r="I426" s="950">
        <f>'Pl 2016-20 PFC'!H430</f>
        <v>0</v>
      </c>
      <c r="J426" s="950">
        <f>'Pl 2016-20 PFC'!I430</f>
        <v>0</v>
      </c>
      <c r="K426" s="950" t="e">
        <f>'Pl 2016-20 PFC'!#REF!</f>
        <v>#REF!</v>
      </c>
      <c r="L426" s="844"/>
      <c r="M426" s="347"/>
      <c r="N426" s="347"/>
      <c r="O426" s="347"/>
      <c r="P426" s="347"/>
      <c r="Q426" s="347"/>
      <c r="R426" s="347"/>
      <c r="S426" s="347"/>
      <c r="T426" s="347"/>
      <c r="U426" s="347"/>
      <c r="V426" s="347"/>
      <c r="W426" s="347"/>
      <c r="X426" s="347"/>
      <c r="Y426" s="347"/>
      <c r="Z426" s="347"/>
      <c r="AA426" s="347"/>
      <c r="AB426" s="347"/>
      <c r="AC426" s="347"/>
      <c r="AD426" s="347"/>
      <c r="AE426" s="347"/>
      <c r="AF426" s="347"/>
      <c r="AG426" s="347"/>
      <c r="AH426" s="347"/>
      <c r="AI426" s="347"/>
      <c r="AJ426" s="347"/>
      <c r="AK426" s="347"/>
      <c r="AL426" s="347"/>
      <c r="AM426" s="347"/>
    </row>
    <row r="427" spans="1:39" s="348" customFormat="1" hidden="1">
      <c r="A427" s="779"/>
      <c r="B427" s="1214" t="s">
        <v>163</v>
      </c>
      <c r="C427" s="1598"/>
      <c r="D427" s="394">
        <f>'Pl 2016-20 PFC'!D431</f>
        <v>0</v>
      </c>
      <c r="E427" s="950">
        <f>'Pl 2016-20 PFC'!E431</f>
        <v>0</v>
      </c>
      <c r="F427" s="950">
        <f>'Pl 2016-20 PFC'!F431</f>
        <v>0</v>
      </c>
      <c r="G427" s="950">
        <f>'Pl 2016-20 PFC'!G431</f>
        <v>0</v>
      </c>
      <c r="H427" s="950">
        <f t="shared" si="18"/>
        <v>0</v>
      </c>
      <c r="I427" s="950">
        <f>'Pl 2016-20 PFC'!H431</f>
        <v>0</v>
      </c>
      <c r="J427" s="950">
        <f>'Pl 2016-20 PFC'!I431</f>
        <v>0</v>
      </c>
      <c r="K427" s="950" t="e">
        <f>'Pl 2016-20 PFC'!#REF!</f>
        <v>#REF!</v>
      </c>
      <c r="L427" s="844"/>
      <c r="M427" s="347"/>
      <c r="N427" s="347"/>
      <c r="O427" s="347"/>
      <c r="P427" s="347"/>
      <c r="Q427" s="347"/>
      <c r="R427" s="347"/>
      <c r="S427" s="347"/>
      <c r="T427" s="347"/>
      <c r="U427" s="347"/>
      <c r="V427" s="347"/>
      <c r="W427" s="347"/>
      <c r="X427" s="347"/>
      <c r="Y427" s="347"/>
      <c r="Z427" s="347"/>
      <c r="AA427" s="347"/>
      <c r="AB427" s="347"/>
      <c r="AC427" s="347"/>
      <c r="AD427" s="347"/>
      <c r="AE427" s="347"/>
      <c r="AF427" s="347"/>
      <c r="AG427" s="347"/>
      <c r="AH427" s="347"/>
      <c r="AI427" s="347"/>
      <c r="AJ427" s="347"/>
      <c r="AK427" s="347"/>
      <c r="AL427" s="347"/>
      <c r="AM427" s="347"/>
    </row>
    <row r="428" spans="1:39" s="348" customFormat="1" hidden="1">
      <c r="A428" s="779"/>
      <c r="B428" s="1214" t="s">
        <v>161</v>
      </c>
      <c r="C428" s="1598"/>
      <c r="D428" s="394">
        <f>'Pl 2016-20 PFC'!D432</f>
        <v>0</v>
      </c>
      <c r="E428" s="950">
        <f>'Pl 2016-20 PFC'!E432</f>
        <v>0</v>
      </c>
      <c r="F428" s="950">
        <f>'Pl 2016-20 PFC'!F432</f>
        <v>0</v>
      </c>
      <c r="G428" s="950">
        <f>'Pl 2016-20 PFC'!G432</f>
        <v>0</v>
      </c>
      <c r="H428" s="950">
        <f t="shared" si="18"/>
        <v>0</v>
      </c>
      <c r="I428" s="950">
        <f>'Pl 2016-20 PFC'!H432</f>
        <v>0</v>
      </c>
      <c r="J428" s="950">
        <f>'Pl 2016-20 PFC'!I432</f>
        <v>0</v>
      </c>
      <c r="K428" s="950" t="e">
        <f>'Pl 2016-20 PFC'!#REF!</f>
        <v>#REF!</v>
      </c>
      <c r="L428" s="844"/>
      <c r="M428" s="347"/>
      <c r="N428" s="347"/>
      <c r="O428" s="347"/>
      <c r="P428" s="347"/>
      <c r="Q428" s="347"/>
      <c r="R428" s="347"/>
      <c r="S428" s="347"/>
      <c r="T428" s="347"/>
      <c r="U428" s="347"/>
      <c r="V428" s="347"/>
      <c r="W428" s="347"/>
      <c r="X428" s="347"/>
      <c r="Y428" s="347"/>
      <c r="Z428" s="347"/>
      <c r="AA428" s="347"/>
      <c r="AB428" s="347"/>
      <c r="AC428" s="347"/>
      <c r="AD428" s="347"/>
      <c r="AE428" s="347"/>
      <c r="AF428" s="347"/>
      <c r="AG428" s="347"/>
      <c r="AH428" s="347"/>
      <c r="AI428" s="347"/>
      <c r="AJ428" s="347"/>
      <c r="AK428" s="347"/>
      <c r="AL428" s="347"/>
      <c r="AM428" s="347"/>
    </row>
    <row r="429" spans="1:39" s="348" customFormat="1" hidden="1">
      <c r="A429" s="779"/>
      <c r="B429" s="1214" t="s">
        <v>378</v>
      </c>
      <c r="C429" s="1598"/>
      <c r="D429" s="394">
        <f>'Pl 2016-20 PFC'!D433</f>
        <v>0</v>
      </c>
      <c r="E429" s="950">
        <f>'Pl 2016-20 PFC'!E433</f>
        <v>0</v>
      </c>
      <c r="F429" s="950">
        <f>'Pl 2016-20 PFC'!F433</f>
        <v>0</v>
      </c>
      <c r="G429" s="950">
        <f>'Pl 2016-20 PFC'!G433</f>
        <v>0</v>
      </c>
      <c r="H429" s="950">
        <f t="shared" si="18"/>
        <v>0</v>
      </c>
      <c r="I429" s="950">
        <f>'Pl 2016-20 PFC'!H433</f>
        <v>0</v>
      </c>
      <c r="J429" s="950">
        <f>'Pl 2016-20 PFC'!I433</f>
        <v>0</v>
      </c>
      <c r="K429" s="950" t="e">
        <f>'Pl 2016-20 PFC'!#REF!</f>
        <v>#REF!</v>
      </c>
      <c r="L429" s="844"/>
      <c r="M429" s="347"/>
      <c r="N429" s="347"/>
      <c r="O429" s="347"/>
      <c r="P429" s="347"/>
      <c r="Q429" s="347"/>
      <c r="R429" s="347"/>
      <c r="S429" s="347"/>
      <c r="T429" s="347"/>
      <c r="U429" s="347"/>
      <c r="V429" s="347"/>
      <c r="W429" s="347"/>
      <c r="X429" s="347"/>
      <c r="Y429" s="347"/>
      <c r="Z429" s="347"/>
      <c r="AA429" s="347"/>
      <c r="AB429" s="347"/>
      <c r="AC429" s="347"/>
      <c r="AD429" s="347"/>
      <c r="AE429" s="347"/>
      <c r="AF429" s="347"/>
      <c r="AG429" s="347"/>
      <c r="AH429" s="347"/>
      <c r="AI429" s="347"/>
      <c r="AJ429" s="347"/>
      <c r="AK429" s="347"/>
      <c r="AL429" s="347"/>
      <c r="AM429" s="347"/>
    </row>
    <row r="430" spans="1:39" s="348" customFormat="1" ht="31.2" hidden="1">
      <c r="A430" s="779"/>
      <c r="B430" s="1214" t="s">
        <v>386</v>
      </c>
      <c r="C430" s="1598"/>
      <c r="D430" s="394">
        <f>'Pl 2016-20 PFC'!D434</f>
        <v>1500000</v>
      </c>
      <c r="E430" s="950">
        <f>'Pl 2016-20 PFC'!E434</f>
        <v>1500000</v>
      </c>
      <c r="F430" s="950">
        <f>'Pl 2016-20 PFC'!F434</f>
        <v>1500000</v>
      </c>
      <c r="G430" s="950">
        <f>'Pl 2016-20 PFC'!G434</f>
        <v>1500000</v>
      </c>
      <c r="H430" s="950">
        <f t="shared" si="18"/>
        <v>0</v>
      </c>
      <c r="I430" s="950">
        <f>'Pl 2016-20 PFC'!H434</f>
        <v>0</v>
      </c>
      <c r="J430" s="950">
        <f>'Pl 2016-20 PFC'!I434</f>
        <v>1500000</v>
      </c>
      <c r="K430" s="950" t="e">
        <f>'Pl 2016-20 PFC'!#REF!</f>
        <v>#REF!</v>
      </c>
      <c r="L430" s="844"/>
      <c r="M430" s="347"/>
      <c r="N430" s="347"/>
      <c r="O430" s="347"/>
      <c r="P430" s="347"/>
      <c r="Q430" s="347"/>
      <c r="R430" s="347"/>
      <c r="S430" s="347"/>
      <c r="T430" s="347"/>
      <c r="U430" s="347"/>
      <c r="V430" s="347"/>
      <c r="W430" s="347"/>
      <c r="X430" s="347"/>
      <c r="Y430" s="347"/>
      <c r="Z430" s="347"/>
      <c r="AA430" s="347"/>
      <c r="AB430" s="347"/>
      <c r="AC430" s="347"/>
      <c r="AD430" s="347"/>
      <c r="AE430" s="347"/>
      <c r="AF430" s="347"/>
      <c r="AG430" s="347"/>
      <c r="AH430" s="347"/>
      <c r="AI430" s="347"/>
      <c r="AJ430" s="347"/>
      <c r="AK430" s="347"/>
      <c r="AL430" s="347"/>
      <c r="AM430" s="347"/>
    </row>
    <row r="431" spans="1:39" s="348" customFormat="1" hidden="1">
      <c r="A431" s="779"/>
      <c r="B431" s="1214" t="s">
        <v>387</v>
      </c>
      <c r="C431" s="1598"/>
      <c r="D431" s="394">
        <f>'Pl 2016-20 PFC'!D435</f>
        <v>1200000</v>
      </c>
      <c r="E431" s="950">
        <f>'Pl 2016-20 PFC'!E435</f>
        <v>1200000</v>
      </c>
      <c r="F431" s="950">
        <f>'Pl 2016-20 PFC'!F435</f>
        <v>1800000</v>
      </c>
      <c r="G431" s="950">
        <f>'Pl 2016-20 PFC'!G435</f>
        <v>1800000</v>
      </c>
      <c r="H431" s="950">
        <f t="shared" si="18"/>
        <v>0</v>
      </c>
      <c r="I431" s="950">
        <f>'Pl 2016-20 PFC'!H435</f>
        <v>0</v>
      </c>
      <c r="J431" s="950">
        <f>'Pl 2016-20 PFC'!I435</f>
        <v>1800000</v>
      </c>
      <c r="K431" s="950" t="e">
        <f>'Pl 2016-20 PFC'!#REF!</f>
        <v>#REF!</v>
      </c>
      <c r="L431" s="844"/>
      <c r="M431" s="347"/>
      <c r="N431" s="347"/>
      <c r="O431" s="347"/>
      <c r="P431" s="347"/>
      <c r="Q431" s="347"/>
      <c r="R431" s="347"/>
      <c r="S431" s="347"/>
      <c r="T431" s="347"/>
      <c r="U431" s="347"/>
      <c r="V431" s="347"/>
      <c r="W431" s="347"/>
      <c r="X431" s="347"/>
      <c r="Y431" s="347"/>
      <c r="Z431" s="347"/>
      <c r="AA431" s="347"/>
      <c r="AB431" s="347"/>
      <c r="AC431" s="347"/>
      <c r="AD431" s="347"/>
      <c r="AE431" s="347"/>
      <c r="AF431" s="347"/>
      <c r="AG431" s="347"/>
      <c r="AH431" s="347"/>
      <c r="AI431" s="347"/>
      <c r="AJ431" s="347"/>
      <c r="AK431" s="347"/>
      <c r="AL431" s="347"/>
      <c r="AM431" s="347"/>
    </row>
    <row r="432" spans="1:39" s="348" customFormat="1" hidden="1">
      <c r="A432" s="779"/>
      <c r="B432" s="1214" t="s">
        <v>181</v>
      </c>
      <c r="C432" s="1598"/>
      <c r="D432" s="394">
        <f>'Pl 2016-20 PFC'!D436</f>
        <v>4500000</v>
      </c>
      <c r="E432" s="950">
        <f>'Pl 2016-20 PFC'!E436</f>
        <v>4500000</v>
      </c>
      <c r="F432" s="950">
        <f>'Pl 2016-20 PFC'!F436</f>
        <v>0</v>
      </c>
      <c r="G432" s="950">
        <f>'Pl 2016-20 PFC'!G436</f>
        <v>0</v>
      </c>
      <c r="H432" s="950">
        <f t="shared" si="18"/>
        <v>0</v>
      </c>
      <c r="I432" s="950">
        <f>'Pl 2016-20 PFC'!H436</f>
        <v>0</v>
      </c>
      <c r="J432" s="950">
        <f>'Pl 2016-20 PFC'!I436</f>
        <v>0</v>
      </c>
      <c r="K432" s="950" t="e">
        <f>'Pl 2016-20 PFC'!#REF!</f>
        <v>#REF!</v>
      </c>
      <c r="L432" s="844"/>
      <c r="M432" s="347"/>
      <c r="N432" s="347"/>
      <c r="O432" s="347"/>
      <c r="P432" s="347"/>
      <c r="Q432" s="347"/>
      <c r="R432" s="347"/>
      <c r="S432" s="347"/>
      <c r="T432" s="347"/>
      <c r="U432" s="347"/>
      <c r="V432" s="347"/>
      <c r="W432" s="347"/>
      <c r="X432" s="347"/>
      <c r="Y432" s="347"/>
      <c r="Z432" s="347"/>
      <c r="AA432" s="347"/>
      <c r="AB432" s="347"/>
      <c r="AC432" s="347"/>
      <c r="AD432" s="347"/>
      <c r="AE432" s="347"/>
      <c r="AF432" s="347"/>
      <c r="AG432" s="347"/>
      <c r="AH432" s="347"/>
      <c r="AI432" s="347"/>
      <c r="AJ432" s="347"/>
      <c r="AK432" s="347"/>
      <c r="AL432" s="347"/>
      <c r="AM432" s="347"/>
    </row>
    <row r="433" spans="1:41" s="348" customFormat="1" hidden="1">
      <c r="A433" s="779"/>
      <c r="B433" s="1214" t="s">
        <v>182</v>
      </c>
      <c r="C433" s="1598"/>
      <c r="D433" s="394">
        <f>'Pl 2016-20 PFC'!D437</f>
        <v>0</v>
      </c>
      <c r="E433" s="950">
        <f>'Pl 2016-20 PFC'!E437</f>
        <v>0</v>
      </c>
      <c r="F433" s="950">
        <f>'Pl 2016-20 PFC'!F437</f>
        <v>0</v>
      </c>
      <c r="G433" s="950">
        <f>'Pl 2016-20 PFC'!G437</f>
        <v>0</v>
      </c>
      <c r="H433" s="950">
        <f t="shared" si="18"/>
        <v>0</v>
      </c>
      <c r="I433" s="950">
        <f>'Pl 2016-20 PFC'!H437</f>
        <v>0</v>
      </c>
      <c r="J433" s="950">
        <f>'Pl 2016-20 PFC'!I437</f>
        <v>0</v>
      </c>
      <c r="K433" s="950" t="e">
        <f>'Pl 2016-20 PFC'!#REF!</f>
        <v>#REF!</v>
      </c>
      <c r="L433" s="844"/>
      <c r="M433" s="347"/>
      <c r="N433" s="347"/>
      <c r="O433" s="347"/>
      <c r="P433" s="347"/>
      <c r="Q433" s="347"/>
      <c r="R433" s="347"/>
      <c r="S433" s="347"/>
      <c r="T433" s="347"/>
      <c r="U433" s="347"/>
      <c r="V433" s="347"/>
      <c r="W433" s="347"/>
      <c r="X433" s="347"/>
      <c r="Y433" s="347"/>
      <c r="Z433" s="347"/>
      <c r="AA433" s="347"/>
      <c r="AB433" s="347"/>
      <c r="AC433" s="347"/>
      <c r="AD433" s="347"/>
      <c r="AE433" s="347"/>
      <c r="AF433" s="347"/>
      <c r="AG433" s="347"/>
      <c r="AH433" s="347"/>
      <c r="AI433" s="347"/>
      <c r="AJ433" s="347"/>
      <c r="AK433" s="347"/>
      <c r="AL433" s="347"/>
      <c r="AM433" s="347"/>
    </row>
    <row r="434" spans="1:41" s="348" customFormat="1" hidden="1">
      <c r="A434" s="779"/>
      <c r="B434" s="1214"/>
      <c r="C434" s="1598"/>
      <c r="D434" s="394">
        <f>'Pl 2016-20 PFC'!D438</f>
        <v>0</v>
      </c>
      <c r="E434" s="950">
        <f>'Pl 2016-20 PFC'!E438</f>
        <v>0</v>
      </c>
      <c r="F434" s="950">
        <f>'Pl 2016-20 PFC'!F438</f>
        <v>0</v>
      </c>
      <c r="G434" s="950">
        <f>'Pl 2016-20 PFC'!G438</f>
        <v>0</v>
      </c>
      <c r="H434" s="950">
        <f t="shared" si="18"/>
        <v>0</v>
      </c>
      <c r="I434" s="950">
        <f>'Pl 2016-20 PFC'!H438</f>
        <v>0</v>
      </c>
      <c r="J434" s="950">
        <f>'Pl 2016-20 PFC'!I438</f>
        <v>0</v>
      </c>
      <c r="K434" s="950" t="e">
        <f>'Pl 2016-20 PFC'!#REF!</f>
        <v>#REF!</v>
      </c>
      <c r="L434" s="844"/>
      <c r="M434" s="347"/>
      <c r="N434" s="347"/>
      <c r="O434" s="347"/>
      <c r="P434" s="347"/>
      <c r="Q434" s="347"/>
      <c r="R434" s="347"/>
      <c r="S434" s="347"/>
      <c r="T434" s="347"/>
      <c r="U434" s="347"/>
      <c r="V434" s="347"/>
      <c r="W434" s="347"/>
      <c r="X434" s="347"/>
      <c r="Y434" s="347"/>
      <c r="Z434" s="347"/>
      <c r="AA434" s="347"/>
      <c r="AB434" s="347"/>
      <c r="AC434" s="347"/>
      <c r="AD434" s="347"/>
      <c r="AE434" s="347"/>
      <c r="AF434" s="347"/>
      <c r="AG434" s="347"/>
      <c r="AH434" s="347"/>
      <c r="AI434" s="347"/>
      <c r="AJ434" s="347"/>
      <c r="AK434" s="347"/>
      <c r="AL434" s="347"/>
      <c r="AM434" s="347"/>
    </row>
    <row r="435" spans="1:41" s="392" customFormat="1" hidden="1">
      <c r="A435" s="779" t="s">
        <v>638</v>
      </c>
      <c r="B435" s="1214" t="s">
        <v>388</v>
      </c>
      <c r="C435" s="1215" t="s">
        <v>81</v>
      </c>
      <c r="D435" s="394">
        <f>'Pl 2016-20 PFC'!D439</f>
        <v>5466000</v>
      </c>
      <c r="E435" s="950">
        <f>'Pl 2016-20 PFC'!E439</f>
        <v>5366000</v>
      </c>
      <c r="F435" s="950">
        <f>'Pl 2016-20 PFC'!F439</f>
        <v>6282000</v>
      </c>
      <c r="G435" s="950">
        <f>'Pl 2016-20 PFC'!G439</f>
        <v>6282000</v>
      </c>
      <c r="H435" s="950">
        <f t="shared" si="18"/>
        <v>0</v>
      </c>
      <c r="I435" s="950">
        <f>'Pl 2016-20 PFC'!H439</f>
        <v>0</v>
      </c>
      <c r="J435" s="950">
        <f>'Pl 2016-20 PFC'!I439</f>
        <v>6282000</v>
      </c>
      <c r="K435" s="950" t="e">
        <f>'Pl 2016-20 PFC'!#REF!</f>
        <v>#REF!</v>
      </c>
      <c r="L435" s="843"/>
    </row>
    <row r="436" spans="1:41" s="393" customFormat="1" ht="31.2" hidden="1">
      <c r="A436" s="779" t="s">
        <v>20</v>
      </c>
      <c r="B436" s="1214" t="s">
        <v>449</v>
      </c>
      <c r="C436" s="1215"/>
      <c r="D436" s="394">
        <f>'Pl 2016-20 PFC'!D441</f>
        <v>1750000</v>
      </c>
      <c r="E436" s="950">
        <f>'Pl 2016-20 PFC'!E441</f>
        <v>1650000</v>
      </c>
      <c r="F436" s="950">
        <f>'Pl 2016-20 PFC'!F441</f>
        <v>2500000</v>
      </c>
      <c r="G436" s="950">
        <f>'Pl 2016-20 PFC'!G441</f>
        <v>2500000</v>
      </c>
      <c r="H436" s="950">
        <f t="shared" si="18"/>
        <v>0</v>
      </c>
      <c r="I436" s="950">
        <f>'Pl 2016-20 PFC'!H441</f>
        <v>0</v>
      </c>
      <c r="J436" s="950">
        <f>'Pl 2016-20 PFC'!I441</f>
        <v>2500000</v>
      </c>
      <c r="K436" s="950" t="e">
        <f>'Pl 2016-20 PFC'!#REF!</f>
        <v>#REF!</v>
      </c>
      <c r="L436" s="843"/>
      <c r="M436" s="392"/>
      <c r="N436" s="392"/>
      <c r="O436" s="392"/>
      <c r="P436" s="392"/>
      <c r="Q436" s="392"/>
      <c r="R436" s="392"/>
      <c r="S436" s="392"/>
      <c r="T436" s="392"/>
      <c r="U436" s="392"/>
      <c r="V436" s="392"/>
      <c r="W436" s="392"/>
      <c r="X436" s="392"/>
      <c r="Y436" s="392"/>
      <c r="Z436" s="392"/>
      <c r="AA436" s="392"/>
      <c r="AB436" s="392"/>
      <c r="AC436" s="392"/>
      <c r="AD436" s="392"/>
      <c r="AE436" s="392"/>
      <c r="AF436" s="392"/>
      <c r="AG436" s="392"/>
      <c r="AH436" s="392"/>
      <c r="AI436" s="392"/>
      <c r="AJ436" s="392"/>
      <c r="AK436" s="392"/>
      <c r="AL436" s="392"/>
      <c r="AM436" s="392"/>
      <c r="AN436" s="392"/>
      <c r="AO436" s="392"/>
    </row>
    <row r="437" spans="1:41" s="393" customFormat="1" hidden="1">
      <c r="A437" s="779" t="s">
        <v>20</v>
      </c>
      <c r="B437" s="1214" t="s">
        <v>450</v>
      </c>
      <c r="C437" s="1215" t="s">
        <v>185</v>
      </c>
      <c r="D437" s="394">
        <f>'Pl 2016-20 PFC'!D440</f>
        <v>1750000</v>
      </c>
      <c r="E437" s="950">
        <f>'Pl 2016-20 PFC'!E440</f>
        <v>1650000</v>
      </c>
      <c r="F437" s="950">
        <f>'Pl 2016-20 PFC'!F440</f>
        <v>2500000</v>
      </c>
      <c r="G437" s="950">
        <f>'Pl 2016-20 PFC'!G440</f>
        <v>2500000</v>
      </c>
      <c r="H437" s="950">
        <f t="shared" si="18"/>
        <v>0</v>
      </c>
      <c r="I437" s="950">
        <f>'Pl 2016-20 PFC'!H440</f>
        <v>0</v>
      </c>
      <c r="J437" s="950">
        <f>'Pl 2016-20 PFC'!I440</f>
        <v>2500000</v>
      </c>
      <c r="K437" s="950" t="e">
        <f>'Pl 2016-20 PFC'!#REF!</f>
        <v>#REF!</v>
      </c>
      <c r="L437" s="843"/>
      <c r="M437" s="392"/>
      <c r="N437" s="392"/>
      <c r="O437" s="392"/>
      <c r="P437" s="392"/>
      <c r="Q437" s="392"/>
      <c r="R437" s="392"/>
      <c r="S437" s="392"/>
      <c r="T437" s="392"/>
      <c r="U437" s="392"/>
      <c r="V437" s="392"/>
      <c r="W437" s="392"/>
      <c r="X437" s="392"/>
      <c r="Y437" s="392"/>
      <c r="Z437" s="392"/>
      <c r="AA437" s="392"/>
      <c r="AB437" s="392"/>
      <c r="AC437" s="392"/>
      <c r="AD437" s="392"/>
      <c r="AE437" s="392"/>
      <c r="AF437" s="392"/>
      <c r="AG437" s="392"/>
      <c r="AH437" s="392"/>
      <c r="AI437" s="392"/>
      <c r="AJ437" s="392"/>
      <c r="AK437" s="392"/>
      <c r="AL437" s="392"/>
      <c r="AM437" s="392"/>
      <c r="AN437" s="392"/>
      <c r="AO437" s="392"/>
    </row>
    <row r="438" spans="1:41" s="393" customFormat="1" ht="31.2" hidden="1">
      <c r="A438" s="779"/>
      <c r="B438" s="1214" t="s">
        <v>385</v>
      </c>
      <c r="C438" s="1215" t="s">
        <v>185</v>
      </c>
      <c r="D438" s="394">
        <f>'Pl 2016-20 PFC'!D442</f>
        <v>0</v>
      </c>
      <c r="E438" s="950">
        <f>'Pl 2016-20 PFC'!E442</f>
        <v>0</v>
      </c>
      <c r="F438" s="950">
        <f>'Pl 2016-20 PFC'!F442</f>
        <v>0</v>
      </c>
      <c r="G438" s="950">
        <f>'Pl 2016-20 PFC'!G442</f>
        <v>0</v>
      </c>
      <c r="H438" s="950">
        <f t="shared" si="18"/>
        <v>0</v>
      </c>
      <c r="I438" s="950">
        <f>'Pl 2016-20 PFC'!H442</f>
        <v>0</v>
      </c>
      <c r="J438" s="950">
        <f>'Pl 2016-20 PFC'!I442</f>
        <v>0</v>
      </c>
      <c r="K438" s="950" t="e">
        <f>'Pl 2016-20 PFC'!#REF!</f>
        <v>#REF!</v>
      </c>
      <c r="L438" s="843"/>
      <c r="M438" s="392"/>
      <c r="N438" s="392"/>
      <c r="O438" s="392"/>
      <c r="P438" s="392"/>
      <c r="Q438" s="392"/>
      <c r="R438" s="392"/>
      <c r="S438" s="392"/>
      <c r="T438" s="392"/>
      <c r="U438" s="392"/>
      <c r="V438" s="392"/>
      <c r="W438" s="392"/>
      <c r="X438" s="392"/>
      <c r="Y438" s="392"/>
      <c r="Z438" s="392"/>
      <c r="AA438" s="392"/>
      <c r="AB438" s="392"/>
      <c r="AC438" s="392"/>
      <c r="AD438" s="392"/>
      <c r="AE438" s="392"/>
      <c r="AF438" s="392"/>
      <c r="AG438" s="392"/>
      <c r="AH438" s="392"/>
      <c r="AI438" s="392"/>
      <c r="AJ438" s="392"/>
      <c r="AK438" s="392"/>
      <c r="AL438" s="392"/>
      <c r="AM438" s="392"/>
      <c r="AN438" s="392"/>
      <c r="AO438" s="392"/>
    </row>
    <row r="439" spans="1:41" s="393" customFormat="1" hidden="1">
      <c r="A439" s="779"/>
      <c r="B439" s="1214" t="s">
        <v>155</v>
      </c>
      <c r="C439" s="1215"/>
      <c r="D439" s="394">
        <f>'Pl 2016-20 PFC'!D443</f>
        <v>0</v>
      </c>
      <c r="E439" s="950">
        <f>'Pl 2016-20 PFC'!E443</f>
        <v>0</v>
      </c>
      <c r="F439" s="950">
        <f>'Pl 2016-20 PFC'!F443</f>
        <v>0</v>
      </c>
      <c r="G439" s="950">
        <f>'Pl 2016-20 PFC'!G443</f>
        <v>0</v>
      </c>
      <c r="H439" s="950">
        <f t="shared" si="18"/>
        <v>0</v>
      </c>
      <c r="I439" s="950">
        <f>'Pl 2016-20 PFC'!H443</f>
        <v>0</v>
      </c>
      <c r="J439" s="950">
        <f>'Pl 2016-20 PFC'!I443</f>
        <v>0</v>
      </c>
      <c r="K439" s="950" t="e">
        <f>'Pl 2016-20 PFC'!#REF!</f>
        <v>#REF!</v>
      </c>
      <c r="L439" s="843"/>
      <c r="M439" s="392"/>
      <c r="N439" s="392"/>
      <c r="O439" s="392"/>
      <c r="P439" s="392"/>
      <c r="Q439" s="392"/>
      <c r="R439" s="392"/>
      <c r="S439" s="392"/>
      <c r="T439" s="392"/>
      <c r="U439" s="392"/>
      <c r="V439" s="392"/>
      <c r="W439" s="392"/>
      <c r="X439" s="392"/>
      <c r="Y439" s="392"/>
      <c r="Z439" s="392"/>
      <c r="AA439" s="392"/>
      <c r="AB439" s="392"/>
      <c r="AC439" s="392"/>
      <c r="AD439" s="392"/>
      <c r="AE439" s="392"/>
      <c r="AF439" s="392"/>
      <c r="AG439" s="392"/>
      <c r="AH439" s="392"/>
      <c r="AI439" s="392"/>
      <c r="AJ439" s="392"/>
      <c r="AK439" s="392"/>
      <c r="AL439" s="392"/>
      <c r="AM439" s="392"/>
      <c r="AN439" s="392"/>
      <c r="AO439" s="392"/>
    </row>
    <row r="440" spans="1:41" s="393" customFormat="1" hidden="1">
      <c r="A440" s="779"/>
      <c r="B440" s="1214" t="s">
        <v>391</v>
      </c>
      <c r="C440" s="1215"/>
      <c r="D440" s="394">
        <f>'Pl 2016-20 PFC'!D444</f>
        <v>0</v>
      </c>
      <c r="E440" s="950">
        <f>'Pl 2016-20 PFC'!E444</f>
        <v>0</v>
      </c>
      <c r="F440" s="950">
        <f>'Pl 2016-20 PFC'!F444</f>
        <v>0</v>
      </c>
      <c r="G440" s="950">
        <f>'Pl 2016-20 PFC'!G444</f>
        <v>0</v>
      </c>
      <c r="H440" s="950">
        <f t="shared" si="18"/>
        <v>0</v>
      </c>
      <c r="I440" s="950">
        <f>'Pl 2016-20 PFC'!H444</f>
        <v>0</v>
      </c>
      <c r="J440" s="950">
        <f>'Pl 2016-20 PFC'!I444</f>
        <v>0</v>
      </c>
      <c r="K440" s="950" t="e">
        <f>'Pl 2016-20 PFC'!#REF!</f>
        <v>#REF!</v>
      </c>
      <c r="L440" s="843"/>
      <c r="M440" s="392"/>
      <c r="N440" s="392"/>
      <c r="O440" s="392"/>
      <c r="P440" s="392"/>
      <c r="Q440" s="392"/>
      <c r="R440" s="392"/>
      <c r="S440" s="392"/>
      <c r="T440" s="392"/>
      <c r="U440" s="392"/>
      <c r="V440" s="392"/>
      <c r="W440" s="392"/>
      <c r="X440" s="392"/>
      <c r="Y440" s="392"/>
      <c r="Z440" s="392"/>
      <c r="AA440" s="392"/>
      <c r="AB440" s="392"/>
      <c r="AC440" s="392"/>
      <c r="AD440" s="392"/>
      <c r="AE440" s="392"/>
      <c r="AF440" s="392"/>
      <c r="AG440" s="392"/>
      <c r="AH440" s="392"/>
      <c r="AI440" s="392"/>
      <c r="AJ440" s="392"/>
      <c r="AK440" s="392"/>
      <c r="AL440" s="392"/>
      <c r="AM440" s="392"/>
      <c r="AN440" s="392"/>
      <c r="AO440" s="392"/>
    </row>
    <row r="441" spans="1:41" s="393" customFormat="1" hidden="1">
      <c r="A441" s="779"/>
      <c r="B441" s="1214" t="s">
        <v>153</v>
      </c>
      <c r="C441" s="1215"/>
      <c r="D441" s="394">
        <f>'Pl 2016-20 PFC'!D445</f>
        <v>0</v>
      </c>
      <c r="E441" s="950">
        <f>'Pl 2016-20 PFC'!E445</f>
        <v>0</v>
      </c>
      <c r="F441" s="950">
        <f>'Pl 2016-20 PFC'!F445</f>
        <v>0</v>
      </c>
      <c r="G441" s="950">
        <f>'Pl 2016-20 PFC'!G445</f>
        <v>0</v>
      </c>
      <c r="H441" s="950">
        <f t="shared" si="18"/>
        <v>0</v>
      </c>
      <c r="I441" s="950">
        <f>'Pl 2016-20 PFC'!H445</f>
        <v>0</v>
      </c>
      <c r="J441" s="950">
        <f>'Pl 2016-20 PFC'!I445</f>
        <v>0</v>
      </c>
      <c r="K441" s="950" t="e">
        <f>'Pl 2016-20 PFC'!#REF!</f>
        <v>#REF!</v>
      </c>
      <c r="L441" s="843"/>
      <c r="M441" s="392"/>
      <c r="N441" s="392"/>
      <c r="O441" s="392"/>
      <c r="P441" s="392"/>
      <c r="Q441" s="392"/>
      <c r="R441" s="392"/>
      <c r="S441" s="392"/>
      <c r="T441" s="392"/>
      <c r="U441" s="392"/>
      <c r="V441" s="392"/>
      <c r="W441" s="392"/>
      <c r="X441" s="392"/>
      <c r="Y441" s="392"/>
      <c r="Z441" s="392"/>
      <c r="AA441" s="392"/>
      <c r="AB441" s="392"/>
      <c r="AC441" s="392"/>
      <c r="AD441" s="392"/>
      <c r="AE441" s="392"/>
      <c r="AF441" s="392"/>
      <c r="AG441" s="392"/>
      <c r="AH441" s="392"/>
      <c r="AI441" s="392"/>
      <c r="AJ441" s="392"/>
      <c r="AK441" s="392"/>
      <c r="AL441" s="392"/>
      <c r="AM441" s="392"/>
      <c r="AN441" s="392"/>
      <c r="AO441" s="392"/>
    </row>
    <row r="442" spans="1:41" s="393" customFormat="1" hidden="1">
      <c r="A442" s="779"/>
      <c r="B442" s="1214" t="s">
        <v>186</v>
      </c>
      <c r="C442" s="1215"/>
      <c r="D442" s="394">
        <f>'Pl 2016-20 PFC'!D446</f>
        <v>0</v>
      </c>
      <c r="E442" s="950">
        <f>'Pl 2016-20 PFC'!E446</f>
        <v>0</v>
      </c>
      <c r="F442" s="950">
        <f>'Pl 2016-20 PFC'!F446</f>
        <v>0</v>
      </c>
      <c r="G442" s="950">
        <f>'Pl 2016-20 PFC'!G446</f>
        <v>0</v>
      </c>
      <c r="H442" s="950">
        <f t="shared" si="18"/>
        <v>0</v>
      </c>
      <c r="I442" s="950">
        <f>'Pl 2016-20 PFC'!H446</f>
        <v>0</v>
      </c>
      <c r="J442" s="950">
        <f>'Pl 2016-20 PFC'!I446</f>
        <v>0</v>
      </c>
      <c r="K442" s="950" t="e">
        <f>'Pl 2016-20 PFC'!#REF!</f>
        <v>#REF!</v>
      </c>
      <c r="L442" s="843"/>
      <c r="M442" s="392"/>
      <c r="N442" s="392"/>
      <c r="O442" s="392"/>
      <c r="P442" s="392"/>
      <c r="Q442" s="392"/>
      <c r="R442" s="392"/>
      <c r="S442" s="392"/>
      <c r="T442" s="392"/>
      <c r="U442" s="392"/>
      <c r="V442" s="392"/>
      <c r="W442" s="392"/>
      <c r="X442" s="392"/>
      <c r="Y442" s="392"/>
      <c r="Z442" s="392"/>
      <c r="AA442" s="392"/>
      <c r="AB442" s="392"/>
      <c r="AC442" s="392"/>
      <c r="AD442" s="392"/>
      <c r="AE442" s="392"/>
      <c r="AF442" s="392"/>
      <c r="AG442" s="392"/>
      <c r="AH442" s="392"/>
      <c r="AI442" s="392"/>
      <c r="AJ442" s="392"/>
      <c r="AK442" s="392"/>
      <c r="AL442" s="392"/>
      <c r="AM442" s="392"/>
      <c r="AN442" s="392"/>
      <c r="AO442" s="392"/>
    </row>
    <row r="443" spans="1:41" s="393" customFormat="1" hidden="1">
      <c r="A443" s="779"/>
      <c r="B443" s="1214" t="s">
        <v>392</v>
      </c>
      <c r="C443" s="1215"/>
      <c r="D443" s="394">
        <f>'Pl 2016-20 PFC'!D447</f>
        <v>0</v>
      </c>
      <c r="E443" s="950">
        <f>'Pl 2016-20 PFC'!E447</f>
        <v>0</v>
      </c>
      <c r="F443" s="950">
        <f>'Pl 2016-20 PFC'!F447</f>
        <v>0</v>
      </c>
      <c r="G443" s="950">
        <f>'Pl 2016-20 PFC'!G447</f>
        <v>0</v>
      </c>
      <c r="H443" s="950">
        <f t="shared" si="18"/>
        <v>0</v>
      </c>
      <c r="I443" s="950">
        <f>'Pl 2016-20 PFC'!H447</f>
        <v>0</v>
      </c>
      <c r="J443" s="950">
        <f>'Pl 2016-20 PFC'!I447</f>
        <v>0</v>
      </c>
      <c r="K443" s="950" t="e">
        <f>'Pl 2016-20 PFC'!#REF!</f>
        <v>#REF!</v>
      </c>
      <c r="L443" s="843"/>
      <c r="M443" s="392"/>
      <c r="N443" s="392"/>
      <c r="O443" s="392"/>
      <c r="P443" s="392"/>
      <c r="Q443" s="392"/>
      <c r="R443" s="392"/>
      <c r="S443" s="392"/>
      <c r="T443" s="392"/>
      <c r="U443" s="392"/>
      <c r="V443" s="392"/>
      <c r="W443" s="392"/>
      <c r="X443" s="392"/>
      <c r="Y443" s="392"/>
      <c r="Z443" s="392"/>
      <c r="AA443" s="392"/>
      <c r="AB443" s="392"/>
      <c r="AC443" s="392"/>
      <c r="AD443" s="392"/>
      <c r="AE443" s="392"/>
      <c r="AF443" s="392"/>
      <c r="AG443" s="392"/>
      <c r="AH443" s="392"/>
      <c r="AI443" s="392"/>
      <c r="AJ443" s="392"/>
      <c r="AK443" s="392"/>
      <c r="AL443" s="392"/>
      <c r="AM443" s="392"/>
      <c r="AN443" s="392"/>
      <c r="AO443" s="392"/>
    </row>
    <row r="444" spans="1:41" s="393" customFormat="1" hidden="1">
      <c r="A444" s="779"/>
      <c r="B444" s="1214" t="s">
        <v>165</v>
      </c>
      <c r="C444" s="1215"/>
      <c r="D444" s="394">
        <f>'Pl 2016-20 PFC'!D448</f>
        <v>0</v>
      </c>
      <c r="E444" s="950">
        <f>'Pl 2016-20 PFC'!E448</f>
        <v>0</v>
      </c>
      <c r="F444" s="950">
        <f>'Pl 2016-20 PFC'!F448</f>
        <v>0</v>
      </c>
      <c r="G444" s="950">
        <f>'Pl 2016-20 PFC'!G448</f>
        <v>0</v>
      </c>
      <c r="H444" s="950">
        <f t="shared" si="18"/>
        <v>0</v>
      </c>
      <c r="I444" s="950">
        <f>'Pl 2016-20 PFC'!H448</f>
        <v>0</v>
      </c>
      <c r="J444" s="950">
        <f>'Pl 2016-20 PFC'!I448</f>
        <v>0</v>
      </c>
      <c r="K444" s="950" t="e">
        <f>'Pl 2016-20 PFC'!#REF!</f>
        <v>#REF!</v>
      </c>
      <c r="L444" s="843"/>
      <c r="M444" s="392"/>
      <c r="N444" s="392"/>
      <c r="O444" s="392"/>
      <c r="P444" s="392"/>
      <c r="Q444" s="392"/>
      <c r="R444" s="392"/>
      <c r="S444" s="392"/>
      <c r="T444" s="392"/>
      <c r="U444" s="392"/>
      <c r="V444" s="392"/>
      <c r="W444" s="392"/>
      <c r="X444" s="392"/>
      <c r="Y444" s="392"/>
      <c r="Z444" s="392"/>
      <c r="AA444" s="392"/>
      <c r="AB444" s="392"/>
      <c r="AC444" s="392"/>
      <c r="AD444" s="392"/>
      <c r="AE444" s="392"/>
      <c r="AF444" s="392"/>
      <c r="AG444" s="392"/>
      <c r="AH444" s="392"/>
      <c r="AI444" s="392"/>
      <c r="AJ444" s="392"/>
      <c r="AK444" s="392"/>
      <c r="AL444" s="392"/>
      <c r="AM444" s="392"/>
      <c r="AN444" s="392"/>
      <c r="AO444" s="392"/>
    </row>
    <row r="445" spans="1:41" s="393" customFormat="1" hidden="1">
      <c r="A445" s="779"/>
      <c r="B445" s="1214" t="s">
        <v>160</v>
      </c>
      <c r="C445" s="1215"/>
      <c r="D445" s="394">
        <f>'Pl 2016-20 PFC'!D449</f>
        <v>0</v>
      </c>
      <c r="E445" s="950">
        <f>'Pl 2016-20 PFC'!E449</f>
        <v>0</v>
      </c>
      <c r="F445" s="950">
        <f>'Pl 2016-20 PFC'!F449</f>
        <v>0</v>
      </c>
      <c r="G445" s="950">
        <f>'Pl 2016-20 PFC'!G449</f>
        <v>0</v>
      </c>
      <c r="H445" s="950">
        <f t="shared" si="18"/>
        <v>0</v>
      </c>
      <c r="I445" s="950">
        <f>'Pl 2016-20 PFC'!H449</f>
        <v>0</v>
      </c>
      <c r="J445" s="950">
        <f>'Pl 2016-20 PFC'!I449</f>
        <v>0</v>
      </c>
      <c r="K445" s="950" t="e">
        <f>'Pl 2016-20 PFC'!#REF!</f>
        <v>#REF!</v>
      </c>
      <c r="L445" s="843"/>
      <c r="M445" s="392"/>
      <c r="N445" s="392"/>
      <c r="O445" s="392"/>
      <c r="P445" s="392"/>
      <c r="Q445" s="392"/>
      <c r="R445" s="392"/>
      <c r="S445" s="392"/>
      <c r="T445" s="392"/>
      <c r="U445" s="392"/>
      <c r="V445" s="392"/>
      <c r="W445" s="392"/>
      <c r="X445" s="392"/>
      <c r="Y445" s="392"/>
      <c r="Z445" s="392"/>
      <c r="AA445" s="392"/>
      <c r="AB445" s="392"/>
      <c r="AC445" s="392"/>
      <c r="AD445" s="392"/>
      <c r="AE445" s="392"/>
      <c r="AF445" s="392"/>
      <c r="AG445" s="392"/>
      <c r="AH445" s="392"/>
      <c r="AI445" s="392"/>
      <c r="AJ445" s="392"/>
      <c r="AK445" s="392"/>
      <c r="AL445" s="392"/>
      <c r="AM445" s="392"/>
      <c r="AN445" s="392"/>
      <c r="AO445" s="392"/>
    </row>
    <row r="446" spans="1:41" s="393" customFormat="1" hidden="1">
      <c r="A446" s="779"/>
      <c r="B446" s="1214" t="s">
        <v>187</v>
      </c>
      <c r="C446" s="1215"/>
      <c r="D446" s="394">
        <f>'Pl 2016-20 PFC'!D450</f>
        <v>0</v>
      </c>
      <c r="E446" s="950">
        <f>'Pl 2016-20 PFC'!E450</f>
        <v>0</v>
      </c>
      <c r="F446" s="950">
        <f>'Pl 2016-20 PFC'!F450</f>
        <v>0</v>
      </c>
      <c r="G446" s="950">
        <f>'Pl 2016-20 PFC'!G450</f>
        <v>0</v>
      </c>
      <c r="H446" s="950">
        <f t="shared" si="18"/>
        <v>0</v>
      </c>
      <c r="I446" s="950">
        <f>'Pl 2016-20 PFC'!H450</f>
        <v>0</v>
      </c>
      <c r="J446" s="950">
        <f>'Pl 2016-20 PFC'!I450</f>
        <v>0</v>
      </c>
      <c r="K446" s="950" t="e">
        <f>'Pl 2016-20 PFC'!#REF!</f>
        <v>#REF!</v>
      </c>
      <c r="L446" s="843"/>
      <c r="M446" s="392"/>
      <c r="N446" s="392"/>
      <c r="O446" s="392"/>
      <c r="P446" s="392"/>
      <c r="Q446" s="392"/>
      <c r="R446" s="392"/>
      <c r="S446" s="392"/>
      <c r="T446" s="392"/>
      <c r="U446" s="392"/>
      <c r="V446" s="392"/>
      <c r="W446" s="392"/>
      <c r="X446" s="392"/>
      <c r="Y446" s="392"/>
      <c r="Z446" s="392"/>
      <c r="AA446" s="392"/>
      <c r="AB446" s="392"/>
      <c r="AC446" s="392"/>
      <c r="AD446" s="392"/>
      <c r="AE446" s="392"/>
      <c r="AF446" s="392"/>
      <c r="AG446" s="392"/>
      <c r="AH446" s="392"/>
      <c r="AI446" s="392"/>
      <c r="AJ446" s="392"/>
      <c r="AK446" s="392"/>
      <c r="AL446" s="392"/>
      <c r="AM446" s="392"/>
      <c r="AN446" s="392"/>
      <c r="AO446" s="392"/>
    </row>
    <row r="447" spans="1:41" s="393" customFormat="1" hidden="1">
      <c r="A447" s="779"/>
      <c r="B447" s="1214" t="s">
        <v>309</v>
      </c>
      <c r="C447" s="1215"/>
      <c r="D447" s="394">
        <f>'Pl 2016-20 PFC'!D451</f>
        <v>0</v>
      </c>
      <c r="E447" s="950">
        <f>'Pl 2016-20 PFC'!E451</f>
        <v>0</v>
      </c>
      <c r="F447" s="950">
        <f>'Pl 2016-20 PFC'!F451</f>
        <v>0</v>
      </c>
      <c r="G447" s="950">
        <f>'Pl 2016-20 PFC'!G451</f>
        <v>0</v>
      </c>
      <c r="H447" s="950">
        <f t="shared" si="18"/>
        <v>0</v>
      </c>
      <c r="I447" s="950">
        <f>'Pl 2016-20 PFC'!H451</f>
        <v>0</v>
      </c>
      <c r="J447" s="950">
        <f>'Pl 2016-20 PFC'!I451</f>
        <v>0</v>
      </c>
      <c r="K447" s="950" t="e">
        <f>'Pl 2016-20 PFC'!#REF!</f>
        <v>#REF!</v>
      </c>
      <c r="L447" s="843"/>
      <c r="M447" s="392"/>
      <c r="N447" s="392"/>
      <c r="O447" s="392"/>
      <c r="P447" s="392"/>
      <c r="Q447" s="392"/>
      <c r="R447" s="392"/>
      <c r="S447" s="392"/>
      <c r="T447" s="392"/>
      <c r="U447" s="392"/>
      <c r="V447" s="392"/>
      <c r="W447" s="392"/>
      <c r="X447" s="392"/>
      <c r="Y447" s="392"/>
      <c r="Z447" s="392"/>
      <c r="AA447" s="392"/>
      <c r="AB447" s="392"/>
      <c r="AC447" s="392"/>
      <c r="AD447" s="392"/>
      <c r="AE447" s="392"/>
      <c r="AF447" s="392"/>
      <c r="AG447" s="392"/>
      <c r="AH447" s="392"/>
      <c r="AI447" s="392"/>
      <c r="AJ447" s="392"/>
      <c r="AK447" s="392"/>
      <c r="AL447" s="392"/>
      <c r="AM447" s="392"/>
      <c r="AN447" s="392"/>
      <c r="AO447" s="392"/>
    </row>
    <row r="448" spans="1:41" s="393" customFormat="1" hidden="1">
      <c r="A448" s="779"/>
      <c r="B448" s="1214" t="s">
        <v>181</v>
      </c>
      <c r="C448" s="1215"/>
      <c r="D448" s="394">
        <f>'Pl 2016-20 PFC'!D452</f>
        <v>0</v>
      </c>
      <c r="E448" s="950">
        <f>'Pl 2016-20 PFC'!E452</f>
        <v>0</v>
      </c>
      <c r="F448" s="950">
        <f>'Pl 2016-20 PFC'!F452</f>
        <v>0</v>
      </c>
      <c r="G448" s="950">
        <f>'Pl 2016-20 PFC'!G452</f>
        <v>0</v>
      </c>
      <c r="H448" s="950">
        <f t="shared" si="18"/>
        <v>0</v>
      </c>
      <c r="I448" s="950">
        <f>'Pl 2016-20 PFC'!H452</f>
        <v>0</v>
      </c>
      <c r="J448" s="950">
        <f>'Pl 2016-20 PFC'!I452</f>
        <v>0</v>
      </c>
      <c r="K448" s="950" t="e">
        <f>'Pl 2016-20 PFC'!#REF!</f>
        <v>#REF!</v>
      </c>
      <c r="L448" s="843"/>
      <c r="M448" s="392"/>
      <c r="N448" s="392"/>
      <c r="O448" s="392"/>
      <c r="P448" s="392"/>
      <c r="Q448" s="392"/>
      <c r="R448" s="392"/>
      <c r="S448" s="392"/>
      <c r="T448" s="392"/>
      <c r="U448" s="392"/>
      <c r="V448" s="392"/>
      <c r="W448" s="392"/>
      <c r="X448" s="392"/>
      <c r="Y448" s="392"/>
      <c r="Z448" s="392"/>
      <c r="AA448" s="392"/>
      <c r="AB448" s="392"/>
      <c r="AC448" s="392"/>
      <c r="AD448" s="392"/>
      <c r="AE448" s="392"/>
      <c r="AF448" s="392"/>
      <c r="AG448" s="392"/>
      <c r="AH448" s="392"/>
      <c r="AI448" s="392"/>
      <c r="AJ448" s="392"/>
      <c r="AK448" s="392"/>
      <c r="AL448" s="392"/>
      <c r="AM448" s="392"/>
      <c r="AN448" s="392"/>
      <c r="AO448" s="392"/>
    </row>
    <row r="449" spans="1:41" s="393" customFormat="1" hidden="1">
      <c r="A449" s="779"/>
      <c r="B449" s="1214"/>
      <c r="C449" s="1215"/>
      <c r="D449" s="394"/>
      <c r="E449" s="950"/>
      <c r="F449" s="950"/>
      <c r="G449" s="950"/>
      <c r="H449" s="950">
        <f t="shared" si="18"/>
        <v>0</v>
      </c>
      <c r="I449" s="950"/>
      <c r="J449" s="950"/>
      <c r="K449" s="950"/>
      <c r="L449" s="843"/>
      <c r="M449" s="392"/>
      <c r="N449" s="392"/>
      <c r="O449" s="392"/>
      <c r="P449" s="392"/>
      <c r="Q449" s="392"/>
      <c r="R449" s="392"/>
      <c r="S449" s="392"/>
      <c r="T449" s="392"/>
      <c r="U449" s="392"/>
      <c r="V449" s="392"/>
      <c r="W449" s="392"/>
      <c r="X449" s="392"/>
      <c r="Y449" s="392"/>
      <c r="Z449" s="392"/>
      <c r="AA449" s="392"/>
      <c r="AB449" s="392"/>
      <c r="AC449" s="392"/>
      <c r="AD449" s="392"/>
      <c r="AE449" s="392"/>
      <c r="AF449" s="392"/>
      <c r="AG449" s="392"/>
      <c r="AH449" s="392"/>
      <c r="AI449" s="392"/>
      <c r="AJ449" s="392"/>
      <c r="AK449" s="392"/>
      <c r="AL449" s="392"/>
      <c r="AM449" s="392"/>
      <c r="AN449" s="392"/>
      <c r="AO449" s="392"/>
    </row>
    <row r="450" spans="1:41" s="393" customFormat="1" hidden="1">
      <c r="A450" s="779"/>
      <c r="B450" s="1214"/>
      <c r="C450" s="1215"/>
      <c r="D450" s="394"/>
      <c r="E450" s="950"/>
      <c r="F450" s="950"/>
      <c r="G450" s="950"/>
      <c r="H450" s="950">
        <f t="shared" si="18"/>
        <v>0</v>
      </c>
      <c r="I450" s="950"/>
      <c r="J450" s="950"/>
      <c r="K450" s="950"/>
      <c r="L450" s="843"/>
      <c r="M450" s="392"/>
      <c r="N450" s="392"/>
      <c r="O450" s="392"/>
      <c r="P450" s="392"/>
      <c r="Q450" s="392"/>
      <c r="R450" s="392"/>
      <c r="S450" s="392"/>
      <c r="T450" s="392"/>
      <c r="U450" s="392"/>
      <c r="V450" s="392"/>
      <c r="W450" s="392"/>
      <c r="X450" s="392"/>
      <c r="Y450" s="392"/>
      <c r="Z450" s="392"/>
      <c r="AA450" s="392"/>
      <c r="AB450" s="392"/>
      <c r="AC450" s="392"/>
      <c r="AD450" s="392"/>
      <c r="AE450" s="392"/>
      <c r="AF450" s="392"/>
      <c r="AG450" s="392"/>
      <c r="AH450" s="392"/>
      <c r="AI450" s="392"/>
      <c r="AJ450" s="392"/>
      <c r="AK450" s="392"/>
      <c r="AL450" s="392"/>
      <c r="AM450" s="392"/>
      <c r="AN450" s="392"/>
      <c r="AO450" s="392"/>
    </row>
    <row r="451" spans="1:41" s="393" customFormat="1" hidden="1">
      <c r="A451" s="779" t="s">
        <v>189</v>
      </c>
      <c r="B451" s="1214" t="s">
        <v>190</v>
      </c>
      <c r="C451" s="1215" t="s">
        <v>191</v>
      </c>
      <c r="D451" s="394">
        <f>'Pl 2016-20 PFC'!D455</f>
        <v>3716000</v>
      </c>
      <c r="E451" s="950">
        <f>'Pl 2016-20 PFC'!E455</f>
        <v>3716000</v>
      </c>
      <c r="F451" s="950">
        <f>'Pl 2016-20 PFC'!F455</f>
        <v>3782000</v>
      </c>
      <c r="G451" s="950">
        <f>'Pl 2016-20 PFC'!G455</f>
        <v>3782000</v>
      </c>
      <c r="H451" s="950">
        <f t="shared" si="18"/>
        <v>0</v>
      </c>
      <c r="I451" s="950">
        <f>'Pl 2016-20 PFC'!H455</f>
        <v>0</v>
      </c>
      <c r="J451" s="950">
        <f>'Pl 2016-20 PFC'!I455</f>
        <v>3782000</v>
      </c>
      <c r="K451" s="950" t="e">
        <f>'Pl 2016-20 PFC'!#REF!</f>
        <v>#REF!</v>
      </c>
      <c r="L451" s="843"/>
      <c r="M451" s="392"/>
      <c r="N451" s="392"/>
      <c r="O451" s="392"/>
      <c r="P451" s="392"/>
      <c r="Q451" s="392"/>
      <c r="R451" s="392"/>
      <c r="S451" s="392"/>
      <c r="T451" s="392"/>
      <c r="U451" s="392"/>
      <c r="V451" s="392"/>
      <c r="W451" s="392"/>
      <c r="X451" s="392"/>
      <c r="Y451" s="392"/>
      <c r="Z451" s="392"/>
      <c r="AA451" s="392"/>
      <c r="AB451" s="392"/>
      <c r="AC451" s="392"/>
      <c r="AD451" s="392"/>
      <c r="AE451" s="392"/>
      <c r="AF451" s="392"/>
      <c r="AG451" s="392"/>
      <c r="AH451" s="392"/>
      <c r="AI451" s="392"/>
      <c r="AJ451" s="392"/>
      <c r="AK451" s="392"/>
      <c r="AL451" s="392"/>
      <c r="AM451" s="392"/>
      <c r="AN451" s="392"/>
      <c r="AO451" s="392"/>
    </row>
    <row r="452" spans="1:41" s="393" customFormat="1" hidden="1">
      <c r="A452" s="779"/>
      <c r="B452" s="1214" t="s">
        <v>192</v>
      </c>
      <c r="C452" s="1215" t="s">
        <v>191</v>
      </c>
      <c r="D452" s="394">
        <f>'Pl 2016-20 PFC'!D456</f>
        <v>3716000</v>
      </c>
      <c r="E452" s="950">
        <f>'Pl 2016-20 PFC'!E456</f>
        <v>3716000</v>
      </c>
      <c r="F452" s="950"/>
      <c r="G452" s="950"/>
      <c r="H452" s="950">
        <f t="shared" si="18"/>
        <v>0</v>
      </c>
      <c r="I452" s="950"/>
      <c r="J452" s="950"/>
      <c r="K452" s="950"/>
      <c r="L452" s="843"/>
      <c r="M452" s="392"/>
      <c r="N452" s="392"/>
      <c r="O452" s="392"/>
      <c r="P452" s="392"/>
      <c r="Q452" s="392"/>
      <c r="R452" s="392"/>
      <c r="S452" s="392"/>
      <c r="T452" s="392"/>
      <c r="U452" s="392"/>
      <c r="V452" s="392"/>
      <c r="W452" s="392"/>
      <c r="X452" s="392"/>
      <c r="Y452" s="392"/>
      <c r="Z452" s="392"/>
      <c r="AA452" s="392"/>
      <c r="AB452" s="392"/>
      <c r="AC452" s="392"/>
      <c r="AD452" s="392"/>
      <c r="AE452" s="392"/>
      <c r="AF452" s="392"/>
      <c r="AG452" s="392"/>
      <c r="AH452" s="392"/>
      <c r="AI452" s="392"/>
      <c r="AJ452" s="392"/>
      <c r="AK452" s="392"/>
      <c r="AL452" s="392"/>
      <c r="AM452" s="392"/>
      <c r="AN452" s="392"/>
      <c r="AO452" s="392"/>
    </row>
    <row r="453" spans="1:41" s="393" customFormat="1" hidden="1">
      <c r="A453" s="779"/>
      <c r="B453" s="1214"/>
      <c r="C453" s="1215"/>
      <c r="D453" s="394"/>
      <c r="E453" s="950"/>
      <c r="F453" s="950"/>
      <c r="G453" s="950"/>
      <c r="H453" s="950">
        <f t="shared" si="18"/>
        <v>0</v>
      </c>
      <c r="I453" s="950"/>
      <c r="J453" s="950"/>
      <c r="K453" s="950"/>
      <c r="L453" s="843"/>
      <c r="M453" s="392"/>
      <c r="N453" s="392"/>
      <c r="O453" s="392"/>
      <c r="P453" s="392"/>
      <c r="Q453" s="392"/>
      <c r="R453" s="392"/>
      <c r="S453" s="392"/>
      <c r="T453" s="392"/>
      <c r="U453" s="392"/>
      <c r="V453" s="392"/>
      <c r="W453" s="392"/>
      <c r="X453" s="392"/>
      <c r="Y453" s="392"/>
      <c r="Z453" s="392"/>
      <c r="AA453" s="392"/>
      <c r="AB453" s="392"/>
      <c r="AC453" s="392"/>
      <c r="AD453" s="392"/>
      <c r="AE453" s="392"/>
      <c r="AF453" s="392"/>
      <c r="AG453" s="392"/>
      <c r="AH453" s="392"/>
      <c r="AI453" s="392"/>
      <c r="AJ453" s="392"/>
      <c r="AK453" s="392"/>
      <c r="AL453" s="392"/>
      <c r="AM453" s="392"/>
      <c r="AN453" s="392"/>
      <c r="AO453" s="392"/>
    </row>
    <row r="454" spans="1:41" s="393" customFormat="1" hidden="1">
      <c r="A454" s="779" t="s">
        <v>639</v>
      </c>
      <c r="B454" s="1214" t="s">
        <v>193</v>
      </c>
      <c r="C454" s="1215" t="s">
        <v>81</v>
      </c>
      <c r="D454" s="394">
        <f>'Pl 2016-20 PFC'!D458</f>
        <v>40800000</v>
      </c>
      <c r="E454" s="950">
        <f>'Pl 2016-20 PFC'!E458</f>
        <v>28284000</v>
      </c>
      <c r="F454" s="950">
        <f>'Pl 2016-20 PFC'!F458</f>
        <v>17000000</v>
      </c>
      <c r="G454" s="1593">
        <f>'Pl 2016-20 PFC'!G458</f>
        <v>0</v>
      </c>
      <c r="H454" s="1593">
        <f t="shared" si="18"/>
        <v>17000000</v>
      </c>
      <c r="I454" s="1593">
        <f>'Pl 2016-20 PFC'!H458</f>
        <v>0</v>
      </c>
      <c r="J454" s="1593">
        <f>'Pl 2016-20 PFC'!I458</f>
        <v>0</v>
      </c>
      <c r="K454" s="1593" t="e">
        <f>'Pl 2016-20 PFC'!#REF!</f>
        <v>#REF!</v>
      </c>
      <c r="L454" s="843"/>
      <c r="M454" s="392"/>
      <c r="N454" s="392"/>
      <c r="O454" s="392"/>
      <c r="P454" s="392"/>
      <c r="Q454" s="392"/>
      <c r="R454" s="392"/>
      <c r="S454" s="392"/>
      <c r="T454" s="392"/>
      <c r="U454" s="392"/>
      <c r="V454" s="392"/>
      <c r="W454" s="392"/>
      <c r="X454" s="392"/>
      <c r="Y454" s="392"/>
      <c r="Z454" s="392"/>
      <c r="AA454" s="392"/>
      <c r="AB454" s="392"/>
      <c r="AC454" s="392"/>
      <c r="AD454" s="392"/>
      <c r="AE454" s="392"/>
      <c r="AF454" s="392"/>
      <c r="AG454" s="392"/>
      <c r="AH454" s="392"/>
      <c r="AI454" s="392"/>
      <c r="AJ454" s="392"/>
      <c r="AK454" s="392"/>
      <c r="AL454" s="392"/>
      <c r="AM454" s="392"/>
      <c r="AN454" s="392"/>
      <c r="AO454" s="392"/>
    </row>
    <row r="455" spans="1:41" s="349" customFormat="1" hidden="1">
      <c r="A455" s="779"/>
      <c r="B455" s="1599" t="s">
        <v>142</v>
      </c>
      <c r="C455" s="1598" t="s">
        <v>81</v>
      </c>
      <c r="D455" s="394">
        <f>'Pl 2016-20 PFC'!D459</f>
        <v>40800000</v>
      </c>
      <c r="E455" s="950">
        <f>'Pl 2016-20 PFC'!E459</f>
        <v>28284000</v>
      </c>
      <c r="F455" s="1600"/>
      <c r="G455" s="1600"/>
      <c r="H455" s="1600">
        <f t="shared" si="18"/>
        <v>0</v>
      </c>
      <c r="I455" s="1600"/>
      <c r="J455" s="1600"/>
      <c r="K455" s="1600"/>
      <c r="L455" s="844"/>
      <c r="M455" s="347"/>
      <c r="N455" s="347"/>
      <c r="O455" s="347"/>
      <c r="P455" s="347"/>
      <c r="Q455" s="347"/>
      <c r="R455" s="347"/>
      <c r="S455" s="347"/>
      <c r="T455" s="347"/>
      <c r="U455" s="347"/>
      <c r="V455" s="347"/>
      <c r="W455" s="347"/>
      <c r="X455" s="347"/>
      <c r="Y455" s="347"/>
      <c r="Z455" s="347"/>
      <c r="AA455" s="347"/>
      <c r="AB455" s="347"/>
      <c r="AC455" s="347"/>
      <c r="AD455" s="347"/>
      <c r="AE455" s="347"/>
      <c r="AF455" s="347"/>
      <c r="AG455" s="347"/>
      <c r="AH455" s="347"/>
      <c r="AI455" s="347"/>
      <c r="AJ455" s="347"/>
      <c r="AK455" s="347"/>
      <c r="AL455" s="347"/>
      <c r="AM455" s="347"/>
      <c r="AN455" s="348"/>
      <c r="AO455" s="348"/>
    </row>
    <row r="456" spans="1:41" s="349" customFormat="1" hidden="1">
      <c r="A456" s="779"/>
      <c r="B456" s="1599" t="s">
        <v>194</v>
      </c>
      <c r="C456" s="1598" t="s">
        <v>195</v>
      </c>
      <c r="D456" s="394">
        <f>'Pl 2016-20 PFC'!D460</f>
        <v>40800000</v>
      </c>
      <c r="E456" s="950">
        <f>'Pl 2016-20 PFC'!E460</f>
        <v>28284000</v>
      </c>
      <c r="F456" s="1600"/>
      <c r="G456" s="1600"/>
      <c r="H456" s="1600">
        <f t="shared" si="18"/>
        <v>0</v>
      </c>
      <c r="I456" s="1600"/>
      <c r="J456" s="1600"/>
      <c r="K456" s="1600"/>
      <c r="L456" s="844"/>
      <c r="M456" s="347"/>
      <c r="N456" s="347"/>
      <c r="O456" s="347"/>
      <c r="P456" s="347"/>
      <c r="Q456" s="347"/>
      <c r="R456" s="347"/>
      <c r="S456" s="347"/>
      <c r="T456" s="347"/>
      <c r="U456" s="347"/>
      <c r="V456" s="347"/>
      <c r="W456" s="347"/>
      <c r="X456" s="347"/>
      <c r="Y456" s="347"/>
      <c r="Z456" s="347"/>
      <c r="AA456" s="347"/>
      <c r="AB456" s="347"/>
      <c r="AC456" s="347"/>
      <c r="AD456" s="347"/>
      <c r="AE456" s="347"/>
      <c r="AF456" s="347"/>
      <c r="AG456" s="347"/>
      <c r="AH456" s="347"/>
      <c r="AI456" s="347"/>
      <c r="AJ456" s="347"/>
      <c r="AK456" s="347"/>
      <c r="AL456" s="347"/>
      <c r="AM456" s="347"/>
      <c r="AN456" s="348"/>
      <c r="AO456" s="348"/>
    </row>
    <row r="457" spans="1:41" s="349" customFormat="1" hidden="1">
      <c r="A457" s="779"/>
      <c r="B457" s="1599" t="s">
        <v>196</v>
      </c>
      <c r="C457" s="1598" t="s">
        <v>197</v>
      </c>
      <c r="D457" s="394">
        <f>'Pl 2016-20 PFC'!D461</f>
        <v>0</v>
      </c>
      <c r="E457" s="950">
        <f>'Pl 2016-20 PFC'!E461</f>
        <v>0</v>
      </c>
      <c r="F457" s="1600"/>
      <c r="G457" s="1600"/>
      <c r="H457" s="1600">
        <f t="shared" si="18"/>
        <v>0</v>
      </c>
      <c r="I457" s="1600"/>
      <c r="J457" s="1600"/>
      <c r="K457" s="1600"/>
      <c r="L457" s="844"/>
      <c r="M457" s="347"/>
      <c r="N457" s="347"/>
      <c r="O457" s="347"/>
      <c r="P457" s="347"/>
      <c r="Q457" s="347"/>
      <c r="R457" s="347"/>
      <c r="S457" s="347"/>
      <c r="T457" s="347"/>
      <c r="U457" s="347"/>
      <c r="V457" s="347"/>
      <c r="W457" s="347"/>
      <c r="X457" s="347"/>
      <c r="Y457" s="347"/>
      <c r="Z457" s="347"/>
      <c r="AA457" s="347"/>
      <c r="AB457" s="347"/>
      <c r="AC457" s="347"/>
      <c r="AD457" s="347"/>
      <c r="AE457" s="347"/>
      <c r="AF457" s="347"/>
      <c r="AG457" s="347"/>
      <c r="AH457" s="347"/>
      <c r="AI457" s="347"/>
      <c r="AJ457" s="347"/>
      <c r="AK457" s="347"/>
      <c r="AL457" s="347"/>
      <c r="AM457" s="347"/>
      <c r="AN457" s="348"/>
      <c r="AO457" s="348"/>
    </row>
    <row r="458" spans="1:41" s="349" customFormat="1" hidden="1">
      <c r="A458" s="779"/>
      <c r="B458" s="1599" t="s">
        <v>183</v>
      </c>
      <c r="C458" s="1598" t="s">
        <v>451</v>
      </c>
      <c r="D458" s="394" t="str">
        <f t="shared" ref="D458:E478" si="19">"$'Pl 2014-17 PFC'.$#ODWOŁANIE$#ODWOŁANIE"</f>
        <v>$'Pl 2014-17 PFC'.$#ODWOŁANIE$#ODWOŁANIE</v>
      </c>
      <c r="E458" s="950" t="str">
        <f t="shared" si="19"/>
        <v>$'Pl 2014-17 PFC'.$#ODWOŁANIE$#ODWOŁANIE</v>
      </c>
      <c r="F458" s="1600"/>
      <c r="G458" s="1600"/>
      <c r="H458" s="1600">
        <f t="shared" si="18"/>
        <v>0</v>
      </c>
      <c r="I458" s="1600"/>
      <c r="J458" s="1600"/>
      <c r="K458" s="1600"/>
      <c r="L458" s="844"/>
      <c r="M458" s="347"/>
      <c r="N458" s="347"/>
      <c r="O458" s="347"/>
      <c r="P458" s="347"/>
      <c r="Q458" s="347"/>
      <c r="R458" s="347"/>
      <c r="S458" s="347"/>
      <c r="T458" s="347"/>
      <c r="U458" s="347"/>
      <c r="V458" s="347"/>
      <c r="W458" s="347"/>
      <c r="X458" s="347"/>
      <c r="Y458" s="347"/>
      <c r="Z458" s="347"/>
      <c r="AA458" s="347"/>
      <c r="AB458" s="347"/>
      <c r="AC458" s="347"/>
      <c r="AD458" s="347"/>
      <c r="AE458" s="347"/>
      <c r="AF458" s="347"/>
      <c r="AG458" s="347"/>
      <c r="AH458" s="347"/>
      <c r="AI458" s="347"/>
      <c r="AJ458" s="347"/>
      <c r="AK458" s="347"/>
      <c r="AL458" s="347"/>
      <c r="AM458" s="347"/>
      <c r="AN458" s="348"/>
      <c r="AO458" s="348"/>
    </row>
    <row r="459" spans="1:41" s="349" customFormat="1" hidden="1">
      <c r="A459" s="779"/>
      <c r="B459" s="1599" t="s">
        <v>452</v>
      </c>
      <c r="C459" s="1598" t="s">
        <v>453</v>
      </c>
      <c r="D459" s="394" t="str">
        <f t="shared" si="19"/>
        <v>$'Pl 2014-17 PFC'.$#ODWOŁANIE$#ODWOŁANIE</v>
      </c>
      <c r="E459" s="950" t="str">
        <f t="shared" si="19"/>
        <v>$'Pl 2014-17 PFC'.$#ODWOŁANIE$#ODWOŁANIE</v>
      </c>
      <c r="F459" s="1600"/>
      <c r="G459" s="1600"/>
      <c r="H459" s="1600">
        <f t="shared" si="18"/>
        <v>0</v>
      </c>
      <c r="I459" s="1600"/>
      <c r="J459" s="1600"/>
      <c r="K459" s="1600"/>
      <c r="L459" s="844"/>
      <c r="M459" s="347"/>
      <c r="N459" s="347"/>
      <c r="O459" s="347"/>
      <c r="P459" s="347"/>
      <c r="Q459" s="347"/>
      <c r="R459" s="347"/>
      <c r="S459" s="347"/>
      <c r="T459" s="347"/>
      <c r="U459" s="347"/>
      <c r="V459" s="347"/>
      <c r="W459" s="347"/>
      <c r="X459" s="347"/>
      <c r="Y459" s="347"/>
      <c r="Z459" s="347"/>
      <c r="AA459" s="347"/>
      <c r="AB459" s="347"/>
      <c r="AC459" s="347"/>
      <c r="AD459" s="347"/>
      <c r="AE459" s="347"/>
      <c r="AF459" s="347"/>
      <c r="AG459" s="347"/>
      <c r="AH459" s="347"/>
      <c r="AI459" s="347"/>
      <c r="AJ459" s="347"/>
      <c r="AK459" s="347"/>
      <c r="AL459" s="347"/>
      <c r="AM459" s="347"/>
      <c r="AN459" s="348"/>
      <c r="AO459" s="348"/>
    </row>
    <row r="460" spans="1:41" s="349" customFormat="1" hidden="1">
      <c r="A460" s="779"/>
      <c r="B460" s="1599" t="s">
        <v>207</v>
      </c>
      <c r="C460" s="1598" t="s">
        <v>454</v>
      </c>
      <c r="D460" s="394" t="str">
        <f t="shared" si="19"/>
        <v>$'Pl 2014-17 PFC'.$#ODWOŁANIE$#ODWOŁANIE</v>
      </c>
      <c r="E460" s="950" t="str">
        <f t="shared" si="19"/>
        <v>$'Pl 2014-17 PFC'.$#ODWOŁANIE$#ODWOŁANIE</v>
      </c>
      <c r="F460" s="1600"/>
      <c r="G460" s="1600"/>
      <c r="H460" s="1600">
        <f t="shared" si="18"/>
        <v>0</v>
      </c>
      <c r="I460" s="1600"/>
      <c r="J460" s="1600"/>
      <c r="K460" s="1600"/>
      <c r="L460" s="844"/>
      <c r="M460" s="347"/>
      <c r="N460" s="347"/>
      <c r="O460" s="347"/>
      <c r="P460" s="347"/>
      <c r="Q460" s="347"/>
      <c r="R460" s="347"/>
      <c r="S460" s="347"/>
      <c r="T460" s="347"/>
      <c r="U460" s="347"/>
      <c r="V460" s="347"/>
      <c r="W460" s="347"/>
      <c r="X460" s="347"/>
      <c r="Y460" s="347"/>
      <c r="Z460" s="347"/>
      <c r="AA460" s="347"/>
      <c r="AB460" s="347"/>
      <c r="AC460" s="347"/>
      <c r="AD460" s="347"/>
      <c r="AE460" s="347"/>
      <c r="AF460" s="347"/>
      <c r="AG460" s="347"/>
      <c r="AH460" s="347"/>
      <c r="AI460" s="347"/>
      <c r="AJ460" s="347"/>
      <c r="AK460" s="347"/>
      <c r="AL460" s="347"/>
      <c r="AM460" s="347"/>
      <c r="AN460" s="348"/>
      <c r="AO460" s="348"/>
    </row>
    <row r="461" spans="1:41" s="349" customFormat="1" hidden="1">
      <c r="A461" s="779"/>
      <c r="B461" s="1599" t="s">
        <v>210</v>
      </c>
      <c r="C461" s="1598" t="s">
        <v>455</v>
      </c>
      <c r="D461" s="394" t="str">
        <f t="shared" si="19"/>
        <v>$'Pl 2014-17 PFC'.$#ODWOŁANIE$#ODWOŁANIE</v>
      </c>
      <c r="E461" s="950" t="str">
        <f t="shared" si="19"/>
        <v>$'Pl 2014-17 PFC'.$#ODWOŁANIE$#ODWOŁANIE</v>
      </c>
      <c r="F461" s="1600"/>
      <c r="G461" s="1600"/>
      <c r="H461" s="1600">
        <f t="shared" si="18"/>
        <v>0</v>
      </c>
      <c r="I461" s="1600"/>
      <c r="J461" s="1600"/>
      <c r="K461" s="1600"/>
      <c r="L461" s="844"/>
      <c r="M461" s="347"/>
      <c r="N461" s="347"/>
      <c r="O461" s="347"/>
      <c r="P461" s="347"/>
      <c r="Q461" s="347"/>
      <c r="R461" s="347"/>
      <c r="S461" s="347"/>
      <c r="T461" s="347"/>
      <c r="U461" s="347"/>
      <c r="V461" s="347"/>
      <c r="W461" s="347"/>
      <c r="X461" s="347"/>
      <c r="Y461" s="347"/>
      <c r="Z461" s="347"/>
      <c r="AA461" s="347"/>
      <c r="AB461" s="347"/>
      <c r="AC461" s="347"/>
      <c r="AD461" s="347"/>
      <c r="AE461" s="347"/>
      <c r="AF461" s="347"/>
      <c r="AG461" s="347"/>
      <c r="AH461" s="347"/>
      <c r="AI461" s="347"/>
      <c r="AJ461" s="347"/>
      <c r="AK461" s="347"/>
      <c r="AL461" s="347"/>
      <c r="AM461" s="347"/>
      <c r="AN461" s="348"/>
      <c r="AO461" s="348"/>
    </row>
    <row r="462" spans="1:41" s="349" customFormat="1" hidden="1">
      <c r="A462" s="779"/>
      <c r="B462" s="1599" t="s">
        <v>204</v>
      </c>
      <c r="C462" s="1598" t="s">
        <v>456</v>
      </c>
      <c r="D462" s="394" t="str">
        <f t="shared" si="19"/>
        <v>$'Pl 2014-17 PFC'.$#ODWOŁANIE$#ODWOŁANIE</v>
      </c>
      <c r="E462" s="950" t="str">
        <f t="shared" si="19"/>
        <v>$'Pl 2014-17 PFC'.$#ODWOŁANIE$#ODWOŁANIE</v>
      </c>
      <c r="F462" s="1600"/>
      <c r="G462" s="1600"/>
      <c r="H462" s="1600">
        <f t="shared" si="18"/>
        <v>0</v>
      </c>
      <c r="I462" s="1600"/>
      <c r="J462" s="1600"/>
      <c r="K462" s="1600"/>
      <c r="L462" s="844"/>
      <c r="M462" s="347"/>
      <c r="N462" s="347"/>
      <c r="O462" s="347"/>
      <c r="P462" s="347"/>
      <c r="Q462" s="347"/>
      <c r="R462" s="347"/>
      <c r="S462" s="347"/>
      <c r="T462" s="347"/>
      <c r="U462" s="347"/>
      <c r="V462" s="347"/>
      <c r="W462" s="347"/>
      <c r="X462" s="347"/>
      <c r="Y462" s="347"/>
      <c r="Z462" s="347"/>
      <c r="AA462" s="347"/>
      <c r="AB462" s="347"/>
      <c r="AC462" s="347"/>
      <c r="AD462" s="347"/>
      <c r="AE462" s="347"/>
      <c r="AF462" s="347"/>
      <c r="AG462" s="347"/>
      <c r="AH462" s="347"/>
      <c r="AI462" s="347"/>
      <c r="AJ462" s="347"/>
      <c r="AK462" s="347"/>
      <c r="AL462" s="347"/>
      <c r="AM462" s="347"/>
      <c r="AN462" s="348"/>
      <c r="AO462" s="348"/>
    </row>
    <row r="463" spans="1:41" s="349" customFormat="1" hidden="1">
      <c r="A463" s="779"/>
      <c r="B463" s="1599" t="s">
        <v>213</v>
      </c>
      <c r="C463" s="1598" t="s">
        <v>81</v>
      </c>
      <c r="D463" s="394" t="str">
        <f t="shared" si="19"/>
        <v>$'Pl 2014-17 PFC'.$#ODWOŁANIE$#ODWOŁANIE</v>
      </c>
      <c r="E463" s="950" t="str">
        <f t="shared" si="19"/>
        <v>$'Pl 2014-17 PFC'.$#ODWOŁANIE$#ODWOŁANIE</v>
      </c>
      <c r="F463" s="1600"/>
      <c r="G463" s="1600"/>
      <c r="H463" s="1600">
        <f t="shared" si="18"/>
        <v>0</v>
      </c>
      <c r="I463" s="1600"/>
      <c r="J463" s="1600"/>
      <c r="K463" s="1600"/>
      <c r="L463" s="844"/>
      <c r="M463" s="347"/>
      <c r="N463" s="347"/>
      <c r="O463" s="347"/>
      <c r="P463" s="347"/>
      <c r="Q463" s="347"/>
      <c r="R463" s="347"/>
      <c r="S463" s="347"/>
      <c r="T463" s="347"/>
      <c r="U463" s="347"/>
      <c r="V463" s="347"/>
      <c r="W463" s="347"/>
      <c r="X463" s="347"/>
      <c r="Y463" s="347"/>
      <c r="Z463" s="347"/>
      <c r="AA463" s="347"/>
      <c r="AB463" s="347"/>
      <c r="AC463" s="347"/>
      <c r="AD463" s="347"/>
      <c r="AE463" s="347"/>
      <c r="AF463" s="347"/>
      <c r="AG463" s="347"/>
      <c r="AH463" s="347"/>
      <c r="AI463" s="347"/>
      <c r="AJ463" s="347"/>
      <c r="AK463" s="347"/>
      <c r="AL463" s="347"/>
      <c r="AM463" s="347"/>
      <c r="AN463" s="348"/>
      <c r="AO463" s="348"/>
    </row>
    <row r="464" spans="1:41" s="349" customFormat="1" hidden="1">
      <c r="A464" s="779"/>
      <c r="B464" s="1599" t="s">
        <v>217</v>
      </c>
      <c r="C464" s="1598" t="s">
        <v>457</v>
      </c>
      <c r="D464" s="394" t="str">
        <f t="shared" si="19"/>
        <v>$'Pl 2014-17 PFC'.$#ODWOŁANIE$#ODWOŁANIE</v>
      </c>
      <c r="E464" s="950" t="str">
        <f t="shared" si="19"/>
        <v>$'Pl 2014-17 PFC'.$#ODWOŁANIE$#ODWOŁANIE</v>
      </c>
      <c r="F464" s="1600"/>
      <c r="G464" s="1600"/>
      <c r="H464" s="1600">
        <f t="shared" si="18"/>
        <v>0</v>
      </c>
      <c r="I464" s="1600"/>
      <c r="J464" s="1600"/>
      <c r="K464" s="1600"/>
      <c r="L464" s="844"/>
      <c r="M464" s="347"/>
      <c r="N464" s="347"/>
      <c r="O464" s="347"/>
      <c r="P464" s="347"/>
      <c r="Q464" s="347"/>
      <c r="R464" s="347"/>
      <c r="S464" s="347"/>
      <c r="T464" s="347"/>
      <c r="U464" s="347"/>
      <c r="V464" s="347"/>
      <c r="W464" s="347"/>
      <c r="X464" s="347"/>
      <c r="Y464" s="347"/>
      <c r="Z464" s="347"/>
      <c r="AA464" s="347"/>
      <c r="AB464" s="347"/>
      <c r="AC464" s="347"/>
      <c r="AD464" s="347"/>
      <c r="AE464" s="347"/>
      <c r="AF464" s="347"/>
      <c r="AG464" s="347"/>
      <c r="AH464" s="347"/>
      <c r="AI464" s="347"/>
      <c r="AJ464" s="347"/>
      <c r="AK464" s="347"/>
      <c r="AL464" s="347"/>
      <c r="AM464" s="347"/>
      <c r="AN464" s="348"/>
      <c r="AO464" s="348"/>
    </row>
    <row r="465" spans="1:41" s="349" customFormat="1" hidden="1">
      <c r="A465" s="779"/>
      <c r="B465" s="1599" t="s">
        <v>458</v>
      </c>
      <c r="C465" s="1598" t="s">
        <v>459</v>
      </c>
      <c r="D465" s="394" t="str">
        <f t="shared" si="19"/>
        <v>$'Pl 2014-17 PFC'.$#ODWOŁANIE$#ODWOŁANIE</v>
      </c>
      <c r="E465" s="950" t="str">
        <f t="shared" si="19"/>
        <v>$'Pl 2014-17 PFC'.$#ODWOŁANIE$#ODWOŁANIE</v>
      </c>
      <c r="F465" s="1600"/>
      <c r="G465" s="1600"/>
      <c r="H465" s="1600">
        <f t="shared" si="18"/>
        <v>0</v>
      </c>
      <c r="I465" s="1600"/>
      <c r="J465" s="1600"/>
      <c r="K465" s="1600"/>
      <c r="L465" s="844"/>
      <c r="M465" s="347"/>
      <c r="N465" s="347"/>
      <c r="O465" s="347"/>
      <c r="P465" s="347"/>
      <c r="Q465" s="347"/>
      <c r="R465" s="347"/>
      <c r="S465" s="347"/>
      <c r="T465" s="347"/>
      <c r="U465" s="347"/>
      <c r="V465" s="347"/>
      <c r="W465" s="347"/>
      <c r="X465" s="347"/>
      <c r="Y465" s="347"/>
      <c r="Z465" s="347"/>
      <c r="AA465" s="347"/>
      <c r="AB465" s="347"/>
      <c r="AC465" s="347"/>
      <c r="AD465" s="347"/>
      <c r="AE465" s="347"/>
      <c r="AF465" s="347"/>
      <c r="AG465" s="347"/>
      <c r="AH465" s="347"/>
      <c r="AI465" s="347"/>
      <c r="AJ465" s="347"/>
      <c r="AK465" s="347"/>
      <c r="AL465" s="347"/>
      <c r="AM465" s="347"/>
      <c r="AN465" s="348"/>
      <c r="AO465" s="348"/>
    </row>
    <row r="466" spans="1:41" s="349" customFormat="1" hidden="1">
      <c r="A466" s="779"/>
      <c r="B466" s="1599" t="s">
        <v>226</v>
      </c>
      <c r="C466" s="1598" t="s">
        <v>460</v>
      </c>
      <c r="D466" s="394" t="str">
        <f t="shared" si="19"/>
        <v>$'Pl 2014-17 PFC'.$#ODWOŁANIE$#ODWOŁANIE</v>
      </c>
      <c r="E466" s="950" t="str">
        <f t="shared" si="19"/>
        <v>$'Pl 2014-17 PFC'.$#ODWOŁANIE$#ODWOŁANIE</v>
      </c>
      <c r="F466" s="1600"/>
      <c r="G466" s="1600"/>
      <c r="H466" s="1600">
        <f t="shared" si="18"/>
        <v>0</v>
      </c>
      <c r="I466" s="1600"/>
      <c r="J466" s="1600"/>
      <c r="K466" s="1600"/>
      <c r="L466" s="844"/>
      <c r="M466" s="347"/>
      <c r="N466" s="347"/>
      <c r="O466" s="347"/>
      <c r="P466" s="347"/>
      <c r="Q466" s="347"/>
      <c r="R466" s="347"/>
      <c r="S466" s="347"/>
      <c r="T466" s="347"/>
      <c r="U466" s="347"/>
      <c r="V466" s="347"/>
      <c r="W466" s="347"/>
      <c r="X466" s="347"/>
      <c r="Y466" s="347"/>
      <c r="Z466" s="347"/>
      <c r="AA466" s="347"/>
      <c r="AB466" s="347"/>
      <c r="AC466" s="347"/>
      <c r="AD466" s="347"/>
      <c r="AE466" s="347"/>
      <c r="AF466" s="347"/>
      <c r="AG466" s="347"/>
      <c r="AH466" s="347"/>
      <c r="AI466" s="347"/>
      <c r="AJ466" s="347"/>
      <c r="AK466" s="347"/>
      <c r="AL466" s="347"/>
      <c r="AM466" s="347"/>
      <c r="AN466" s="348"/>
      <c r="AO466" s="348"/>
    </row>
    <row r="467" spans="1:41" s="349" customFormat="1" hidden="1">
      <c r="A467" s="779"/>
      <c r="B467" s="1599" t="s">
        <v>230</v>
      </c>
      <c r="C467" s="1598" t="s">
        <v>461</v>
      </c>
      <c r="D467" s="394" t="str">
        <f t="shared" si="19"/>
        <v>$'Pl 2014-17 PFC'.$#ODWOŁANIE$#ODWOŁANIE</v>
      </c>
      <c r="E467" s="950" t="str">
        <f t="shared" si="19"/>
        <v>$'Pl 2014-17 PFC'.$#ODWOŁANIE$#ODWOŁANIE</v>
      </c>
      <c r="F467" s="1600"/>
      <c r="G467" s="1600"/>
      <c r="H467" s="1600">
        <f t="shared" si="18"/>
        <v>0</v>
      </c>
      <c r="I467" s="1600"/>
      <c r="J467" s="1600"/>
      <c r="K467" s="1600"/>
      <c r="L467" s="844"/>
      <c r="M467" s="347"/>
      <c r="N467" s="347"/>
      <c r="O467" s="347"/>
      <c r="P467" s="347"/>
      <c r="Q467" s="347"/>
      <c r="R467" s="347"/>
      <c r="S467" s="347"/>
      <c r="T467" s="347"/>
      <c r="U467" s="347"/>
      <c r="V467" s="347"/>
      <c r="W467" s="347"/>
      <c r="X467" s="347"/>
      <c r="Y467" s="347"/>
      <c r="Z467" s="347"/>
      <c r="AA467" s="347"/>
      <c r="AB467" s="347"/>
      <c r="AC467" s="347"/>
      <c r="AD467" s="347"/>
      <c r="AE467" s="347"/>
      <c r="AF467" s="347"/>
      <c r="AG467" s="347"/>
      <c r="AH467" s="347"/>
      <c r="AI467" s="347"/>
      <c r="AJ467" s="347"/>
      <c r="AK467" s="347"/>
      <c r="AL467" s="347"/>
      <c r="AM467" s="347"/>
      <c r="AN467" s="348"/>
      <c r="AO467" s="348"/>
    </row>
    <row r="468" spans="1:41" s="349" customFormat="1" hidden="1">
      <c r="A468" s="779"/>
      <c r="B468" s="1599" t="s">
        <v>231</v>
      </c>
      <c r="C468" s="1598" t="s">
        <v>462</v>
      </c>
      <c r="D468" s="394" t="str">
        <f t="shared" si="19"/>
        <v>$'Pl 2014-17 PFC'.$#ODWOŁANIE$#ODWOŁANIE</v>
      </c>
      <c r="E468" s="950" t="str">
        <f t="shared" si="19"/>
        <v>$'Pl 2014-17 PFC'.$#ODWOŁANIE$#ODWOŁANIE</v>
      </c>
      <c r="F468" s="1600"/>
      <c r="G468" s="1600"/>
      <c r="H468" s="1600">
        <f t="shared" si="18"/>
        <v>0</v>
      </c>
      <c r="I468" s="1600"/>
      <c r="J468" s="1600"/>
      <c r="K468" s="1600"/>
      <c r="L468" s="844"/>
      <c r="M468" s="347"/>
      <c r="N468" s="347"/>
      <c r="O468" s="347"/>
      <c r="P468" s="347"/>
      <c r="Q468" s="347"/>
      <c r="R468" s="347"/>
      <c r="S468" s="347"/>
      <c r="T468" s="347"/>
      <c r="U468" s="347"/>
      <c r="V468" s="347"/>
      <c r="W468" s="347"/>
      <c r="X468" s="347"/>
      <c r="Y468" s="347"/>
      <c r="Z468" s="347"/>
      <c r="AA468" s="347"/>
      <c r="AB468" s="347"/>
      <c r="AC468" s="347"/>
      <c r="AD468" s="347"/>
      <c r="AE468" s="347"/>
      <c r="AF468" s="347"/>
      <c r="AG468" s="347"/>
      <c r="AH468" s="347"/>
      <c r="AI468" s="347"/>
      <c r="AJ468" s="347"/>
      <c r="AK468" s="347"/>
      <c r="AL468" s="347"/>
      <c r="AM468" s="347"/>
      <c r="AN468" s="348"/>
      <c r="AO468" s="348"/>
    </row>
    <row r="469" spans="1:41" s="349" customFormat="1" hidden="1">
      <c r="A469" s="779"/>
      <c r="B469" s="1599" t="s">
        <v>463</v>
      </c>
      <c r="C469" s="1598" t="s">
        <v>464</v>
      </c>
      <c r="D469" s="394" t="str">
        <f t="shared" si="19"/>
        <v>$'Pl 2014-17 PFC'.$#ODWOŁANIE$#ODWOŁANIE</v>
      </c>
      <c r="E469" s="950" t="str">
        <f t="shared" si="19"/>
        <v>$'Pl 2014-17 PFC'.$#ODWOŁANIE$#ODWOŁANIE</v>
      </c>
      <c r="F469" s="1600"/>
      <c r="G469" s="1600"/>
      <c r="H469" s="1600">
        <f t="shared" si="18"/>
        <v>0</v>
      </c>
      <c r="I469" s="1600"/>
      <c r="J469" s="1600"/>
      <c r="K469" s="1600"/>
      <c r="L469" s="844"/>
      <c r="M469" s="347"/>
      <c r="N469" s="347"/>
      <c r="O469" s="347"/>
      <c r="P469" s="347"/>
      <c r="Q469" s="347"/>
      <c r="R469" s="347"/>
      <c r="S469" s="347"/>
      <c r="T469" s="347"/>
      <c r="U469" s="347"/>
      <c r="V469" s="347"/>
      <c r="W469" s="347"/>
      <c r="X469" s="347"/>
      <c r="Y469" s="347"/>
      <c r="Z469" s="347"/>
      <c r="AA469" s="347"/>
      <c r="AB469" s="347"/>
      <c r="AC469" s="347"/>
      <c r="AD469" s="347"/>
      <c r="AE469" s="347"/>
      <c r="AF469" s="347"/>
      <c r="AG469" s="347"/>
      <c r="AH469" s="347"/>
      <c r="AI469" s="347"/>
      <c r="AJ469" s="347"/>
      <c r="AK469" s="347"/>
      <c r="AL469" s="347"/>
      <c r="AM469" s="347"/>
      <c r="AN469" s="348"/>
      <c r="AO469" s="348"/>
    </row>
    <row r="470" spans="1:41" s="349" customFormat="1" hidden="1">
      <c r="A470" s="779"/>
      <c r="B470" s="1599" t="s">
        <v>465</v>
      </c>
      <c r="C470" s="1598" t="s">
        <v>466</v>
      </c>
      <c r="D470" s="394" t="str">
        <f t="shared" si="19"/>
        <v>$'Pl 2014-17 PFC'.$#ODWOŁANIE$#ODWOŁANIE</v>
      </c>
      <c r="E470" s="950" t="str">
        <f t="shared" si="19"/>
        <v>$'Pl 2014-17 PFC'.$#ODWOŁANIE$#ODWOŁANIE</v>
      </c>
      <c r="F470" s="1600"/>
      <c r="G470" s="1600"/>
      <c r="H470" s="1600">
        <f t="shared" si="18"/>
        <v>0</v>
      </c>
      <c r="I470" s="1600"/>
      <c r="J470" s="1600"/>
      <c r="K470" s="1600"/>
      <c r="L470" s="844"/>
      <c r="M470" s="347"/>
      <c r="N470" s="347"/>
      <c r="O470" s="347"/>
      <c r="P470" s="347"/>
      <c r="Q470" s="347"/>
      <c r="R470" s="347"/>
      <c r="S470" s="347"/>
      <c r="T470" s="347"/>
      <c r="U470" s="347"/>
      <c r="V470" s="347"/>
      <c r="W470" s="347"/>
      <c r="X470" s="347"/>
      <c r="Y470" s="347"/>
      <c r="Z470" s="347"/>
      <c r="AA470" s="347"/>
      <c r="AB470" s="347"/>
      <c r="AC470" s="347"/>
      <c r="AD470" s="347"/>
      <c r="AE470" s="347"/>
      <c r="AF470" s="347"/>
      <c r="AG470" s="347"/>
      <c r="AH470" s="347"/>
      <c r="AI470" s="347"/>
      <c r="AJ470" s="347"/>
      <c r="AK470" s="347"/>
      <c r="AL470" s="347"/>
      <c r="AM470" s="347"/>
      <c r="AN470" s="348"/>
      <c r="AO470" s="348"/>
    </row>
    <row r="471" spans="1:41" s="349" customFormat="1" hidden="1">
      <c r="A471" s="779"/>
      <c r="B471" s="1599" t="s">
        <v>467</v>
      </c>
      <c r="C471" s="1598" t="s">
        <v>468</v>
      </c>
      <c r="D471" s="394" t="str">
        <f t="shared" si="19"/>
        <v>$'Pl 2014-17 PFC'.$#ODWOŁANIE$#ODWOŁANIE</v>
      </c>
      <c r="E471" s="950" t="str">
        <f t="shared" si="19"/>
        <v>$'Pl 2014-17 PFC'.$#ODWOŁANIE$#ODWOŁANIE</v>
      </c>
      <c r="F471" s="1600"/>
      <c r="G471" s="1600"/>
      <c r="H471" s="1600">
        <f t="shared" si="18"/>
        <v>0</v>
      </c>
      <c r="I471" s="1600"/>
      <c r="J471" s="1600"/>
      <c r="K471" s="1600"/>
      <c r="L471" s="844"/>
      <c r="M471" s="347"/>
      <c r="N471" s="347"/>
      <c r="O471" s="347"/>
      <c r="P471" s="347"/>
      <c r="Q471" s="347"/>
      <c r="R471" s="347"/>
      <c r="S471" s="347"/>
      <c r="T471" s="347"/>
      <c r="U471" s="347"/>
      <c r="V471" s="347"/>
      <c r="W471" s="347"/>
      <c r="X471" s="347"/>
      <c r="Y471" s="347"/>
      <c r="Z471" s="347"/>
      <c r="AA471" s="347"/>
      <c r="AB471" s="347"/>
      <c r="AC471" s="347"/>
      <c r="AD471" s="347"/>
      <c r="AE471" s="347"/>
      <c r="AF471" s="347"/>
      <c r="AG471" s="347"/>
      <c r="AH471" s="347"/>
      <c r="AI471" s="347"/>
      <c r="AJ471" s="347"/>
      <c r="AK471" s="347"/>
      <c r="AL471" s="347"/>
      <c r="AM471" s="347"/>
      <c r="AN471" s="348"/>
      <c r="AO471" s="348"/>
    </row>
    <row r="472" spans="1:41" s="349" customFormat="1" hidden="1">
      <c r="A472" s="779"/>
      <c r="B472" s="1599" t="s">
        <v>65</v>
      </c>
      <c r="C472" s="1598" t="s">
        <v>469</v>
      </c>
      <c r="D472" s="394" t="str">
        <f t="shared" si="19"/>
        <v>$'Pl 2014-17 PFC'.$#ODWOŁANIE$#ODWOŁANIE</v>
      </c>
      <c r="E472" s="950" t="str">
        <f t="shared" si="19"/>
        <v>$'Pl 2014-17 PFC'.$#ODWOŁANIE$#ODWOŁANIE</v>
      </c>
      <c r="F472" s="1600"/>
      <c r="G472" s="1600"/>
      <c r="H472" s="1600">
        <f t="shared" si="18"/>
        <v>0</v>
      </c>
      <c r="I472" s="1600"/>
      <c r="J472" s="1600"/>
      <c r="K472" s="1600"/>
      <c r="L472" s="844"/>
      <c r="M472" s="347"/>
      <c r="N472" s="347"/>
      <c r="O472" s="347"/>
      <c r="P472" s="347"/>
      <c r="Q472" s="347"/>
      <c r="R472" s="347"/>
      <c r="S472" s="347"/>
      <c r="T472" s="347"/>
      <c r="U472" s="347"/>
      <c r="V472" s="347"/>
      <c r="W472" s="347"/>
      <c r="X472" s="347"/>
      <c r="Y472" s="347"/>
      <c r="Z472" s="347"/>
      <c r="AA472" s="347"/>
      <c r="AB472" s="347"/>
      <c r="AC472" s="347"/>
      <c r="AD472" s="347"/>
      <c r="AE472" s="347"/>
      <c r="AF472" s="347"/>
      <c r="AG472" s="347"/>
      <c r="AH472" s="347"/>
      <c r="AI472" s="347"/>
      <c r="AJ472" s="347"/>
      <c r="AK472" s="347"/>
      <c r="AL472" s="347"/>
      <c r="AM472" s="347"/>
      <c r="AN472" s="348"/>
      <c r="AO472" s="348"/>
    </row>
    <row r="473" spans="1:41" s="349" customFormat="1" hidden="1">
      <c r="A473" s="779"/>
      <c r="B473" s="1599" t="s">
        <v>419</v>
      </c>
      <c r="C473" s="1598" t="s">
        <v>470</v>
      </c>
      <c r="D473" s="394" t="str">
        <f t="shared" si="19"/>
        <v>$'Pl 2014-17 PFC'.$#ODWOŁANIE$#ODWOŁANIE</v>
      </c>
      <c r="E473" s="950" t="str">
        <f t="shared" si="19"/>
        <v>$'Pl 2014-17 PFC'.$#ODWOŁANIE$#ODWOŁANIE</v>
      </c>
      <c r="F473" s="1600"/>
      <c r="G473" s="1600"/>
      <c r="H473" s="1600">
        <f t="shared" si="18"/>
        <v>0</v>
      </c>
      <c r="I473" s="1600"/>
      <c r="J473" s="1600"/>
      <c r="K473" s="1600"/>
      <c r="L473" s="844"/>
      <c r="M473" s="347"/>
      <c r="N473" s="347"/>
      <c r="O473" s="347"/>
      <c r="P473" s="347"/>
      <c r="Q473" s="347"/>
      <c r="R473" s="347"/>
      <c r="S473" s="347"/>
      <c r="T473" s="347"/>
      <c r="U473" s="347"/>
      <c r="V473" s="347"/>
      <c r="W473" s="347"/>
      <c r="X473" s="347"/>
      <c r="Y473" s="347"/>
      <c r="Z473" s="347"/>
      <c r="AA473" s="347"/>
      <c r="AB473" s="347"/>
      <c r="AC473" s="347"/>
      <c r="AD473" s="347"/>
      <c r="AE473" s="347"/>
      <c r="AF473" s="347"/>
      <c r="AG473" s="347"/>
      <c r="AH473" s="347"/>
      <c r="AI473" s="347"/>
      <c r="AJ473" s="347"/>
      <c r="AK473" s="347"/>
      <c r="AL473" s="347"/>
      <c r="AM473" s="347"/>
      <c r="AN473" s="348"/>
      <c r="AO473" s="348"/>
    </row>
    <row r="474" spans="1:41" s="349" customFormat="1" hidden="1">
      <c r="A474" s="779"/>
      <c r="B474" s="1599" t="s">
        <v>421</v>
      </c>
      <c r="C474" s="1598" t="s">
        <v>471</v>
      </c>
      <c r="D474" s="394" t="str">
        <f t="shared" si="19"/>
        <v>$'Pl 2014-17 PFC'.$#ODWOŁANIE$#ODWOŁANIE</v>
      </c>
      <c r="E474" s="950" t="str">
        <f t="shared" si="19"/>
        <v>$'Pl 2014-17 PFC'.$#ODWOŁANIE$#ODWOŁANIE</v>
      </c>
      <c r="F474" s="1600"/>
      <c r="G474" s="1600"/>
      <c r="H474" s="1600">
        <f t="shared" si="18"/>
        <v>0</v>
      </c>
      <c r="I474" s="1600"/>
      <c r="J474" s="1600"/>
      <c r="K474" s="1600"/>
      <c r="L474" s="844"/>
      <c r="M474" s="347"/>
      <c r="N474" s="347"/>
      <c r="O474" s="347"/>
      <c r="P474" s="347"/>
      <c r="Q474" s="347"/>
      <c r="R474" s="347"/>
      <c r="S474" s="347"/>
      <c r="T474" s="347"/>
      <c r="U474" s="347"/>
      <c r="V474" s="347"/>
      <c r="W474" s="347"/>
      <c r="X474" s="347"/>
      <c r="Y474" s="347"/>
      <c r="Z474" s="347"/>
      <c r="AA474" s="347"/>
      <c r="AB474" s="347"/>
      <c r="AC474" s="347"/>
      <c r="AD474" s="347"/>
      <c r="AE474" s="347"/>
      <c r="AF474" s="347"/>
      <c r="AG474" s="347"/>
      <c r="AH474" s="347"/>
      <c r="AI474" s="347"/>
      <c r="AJ474" s="347"/>
      <c r="AK474" s="347"/>
      <c r="AL474" s="347"/>
      <c r="AM474" s="347"/>
      <c r="AN474" s="348"/>
      <c r="AO474" s="348"/>
    </row>
    <row r="475" spans="1:41" s="349" customFormat="1" hidden="1">
      <c r="A475" s="779"/>
      <c r="B475" s="1599" t="s">
        <v>472</v>
      </c>
      <c r="C475" s="1598" t="s">
        <v>473</v>
      </c>
      <c r="D475" s="394" t="str">
        <f t="shared" si="19"/>
        <v>$'Pl 2014-17 PFC'.$#ODWOŁANIE$#ODWOŁANIE</v>
      </c>
      <c r="E475" s="950" t="str">
        <f t="shared" si="19"/>
        <v>$'Pl 2014-17 PFC'.$#ODWOŁANIE$#ODWOŁANIE</v>
      </c>
      <c r="F475" s="1600"/>
      <c r="G475" s="1600"/>
      <c r="H475" s="1600">
        <f t="shared" ref="H475:H538" si="20">F475-G475</f>
        <v>0</v>
      </c>
      <c r="I475" s="1600"/>
      <c r="J475" s="1600"/>
      <c r="K475" s="1600"/>
      <c r="L475" s="844"/>
      <c r="M475" s="347"/>
      <c r="N475" s="347"/>
      <c r="O475" s="347"/>
      <c r="P475" s="347"/>
      <c r="Q475" s="347"/>
      <c r="R475" s="347"/>
      <c r="S475" s="347"/>
      <c r="T475" s="347"/>
      <c r="U475" s="347"/>
      <c r="V475" s="347"/>
      <c r="W475" s="347"/>
      <c r="X475" s="347"/>
      <c r="Y475" s="347"/>
      <c r="Z475" s="347"/>
      <c r="AA475" s="347"/>
      <c r="AB475" s="347"/>
      <c r="AC475" s="347"/>
      <c r="AD475" s="347"/>
      <c r="AE475" s="347"/>
      <c r="AF475" s="347"/>
      <c r="AG475" s="347"/>
      <c r="AH475" s="347"/>
      <c r="AI475" s="347"/>
      <c r="AJ475" s="347"/>
      <c r="AK475" s="347"/>
      <c r="AL475" s="347"/>
      <c r="AM475" s="347"/>
      <c r="AN475" s="348"/>
      <c r="AO475" s="348"/>
    </row>
    <row r="476" spans="1:41" s="349" customFormat="1" hidden="1">
      <c r="A476" s="779"/>
      <c r="B476" s="1599" t="s">
        <v>275</v>
      </c>
      <c r="C476" s="1598" t="s">
        <v>81</v>
      </c>
      <c r="D476" s="394" t="str">
        <f t="shared" si="19"/>
        <v>$'Pl 2014-17 PFC'.$#ODWOŁANIE$#ODWOŁANIE</v>
      </c>
      <c r="E476" s="950" t="str">
        <f t="shared" si="19"/>
        <v>$'Pl 2014-17 PFC'.$#ODWOŁANIE$#ODWOŁANIE</v>
      </c>
      <c r="F476" s="1600"/>
      <c r="G476" s="1600"/>
      <c r="H476" s="1600">
        <f t="shared" si="20"/>
        <v>0</v>
      </c>
      <c r="I476" s="1600"/>
      <c r="J476" s="1600"/>
      <c r="K476" s="1600"/>
      <c r="L476" s="844"/>
      <c r="M476" s="347"/>
      <c r="N476" s="347"/>
      <c r="O476" s="347"/>
      <c r="P476" s="347"/>
      <c r="Q476" s="347"/>
      <c r="R476" s="347"/>
      <c r="S476" s="347"/>
      <c r="T476" s="347"/>
      <c r="U476" s="347"/>
      <c r="V476" s="347"/>
      <c r="W476" s="347"/>
      <c r="X476" s="347"/>
      <c r="Y476" s="347"/>
      <c r="Z476" s="347"/>
      <c r="AA476" s="347"/>
      <c r="AB476" s="347"/>
      <c r="AC476" s="347"/>
      <c r="AD476" s="347"/>
      <c r="AE476" s="347"/>
      <c r="AF476" s="347"/>
      <c r="AG476" s="347"/>
      <c r="AH476" s="347"/>
      <c r="AI476" s="347"/>
      <c r="AJ476" s="347"/>
      <c r="AK476" s="347"/>
      <c r="AL476" s="347"/>
      <c r="AM476" s="347"/>
      <c r="AN476" s="348"/>
      <c r="AO476" s="348"/>
    </row>
    <row r="477" spans="1:41" s="349" customFormat="1" hidden="1">
      <c r="A477" s="779"/>
      <c r="B477" s="1599" t="s">
        <v>277</v>
      </c>
      <c r="C477" s="1598" t="s">
        <v>474</v>
      </c>
      <c r="D477" s="394" t="str">
        <f t="shared" si="19"/>
        <v>$'Pl 2014-17 PFC'.$#ODWOŁANIE$#ODWOŁANIE</v>
      </c>
      <c r="E477" s="950" t="str">
        <f t="shared" si="19"/>
        <v>$'Pl 2014-17 PFC'.$#ODWOŁANIE$#ODWOŁANIE</v>
      </c>
      <c r="F477" s="1600"/>
      <c r="G477" s="1600"/>
      <c r="H477" s="1600">
        <f t="shared" si="20"/>
        <v>0</v>
      </c>
      <c r="I477" s="1600"/>
      <c r="J477" s="1600"/>
      <c r="K477" s="1600"/>
      <c r="L477" s="844"/>
      <c r="M477" s="347"/>
      <c r="N477" s="347"/>
      <c r="O477" s="347"/>
      <c r="P477" s="347"/>
      <c r="Q477" s="347"/>
      <c r="R477" s="347"/>
      <c r="S477" s="347"/>
      <c r="T477" s="347"/>
      <c r="U477" s="347"/>
      <c r="V477" s="347"/>
      <c r="W477" s="347"/>
      <c r="X477" s="347"/>
      <c r="Y477" s="347"/>
      <c r="Z477" s="347"/>
      <c r="AA477" s="347"/>
      <c r="AB477" s="347"/>
      <c r="AC477" s="347"/>
      <c r="AD477" s="347"/>
      <c r="AE477" s="347"/>
      <c r="AF477" s="347"/>
      <c r="AG477" s="347"/>
      <c r="AH477" s="347"/>
      <c r="AI477" s="347"/>
      <c r="AJ477" s="347"/>
      <c r="AK477" s="347"/>
      <c r="AL477" s="347"/>
      <c r="AM477" s="347"/>
      <c r="AN477" s="348"/>
      <c r="AO477" s="348"/>
    </row>
    <row r="478" spans="1:41" s="349" customFormat="1" hidden="1">
      <c r="A478" s="779"/>
      <c r="B478" s="1599" t="s">
        <v>282</v>
      </c>
      <c r="C478" s="1598" t="s">
        <v>475</v>
      </c>
      <c r="D478" s="394" t="str">
        <f t="shared" si="19"/>
        <v>$'Pl 2014-17 PFC'.$#ODWOŁANIE$#ODWOŁANIE</v>
      </c>
      <c r="E478" s="950" t="str">
        <f t="shared" si="19"/>
        <v>$'Pl 2014-17 PFC'.$#ODWOŁANIE$#ODWOŁANIE</v>
      </c>
      <c r="F478" s="1600"/>
      <c r="G478" s="1600"/>
      <c r="H478" s="1600">
        <f t="shared" si="20"/>
        <v>0</v>
      </c>
      <c r="I478" s="1600"/>
      <c r="J478" s="1600"/>
      <c r="K478" s="1600"/>
      <c r="L478" s="844"/>
      <c r="M478" s="347"/>
      <c r="N478" s="347"/>
      <c r="O478" s="347"/>
      <c r="P478" s="347"/>
      <c r="Q478" s="347"/>
      <c r="R478" s="347"/>
      <c r="S478" s="347"/>
      <c r="T478" s="347"/>
      <c r="U478" s="347"/>
      <c r="V478" s="347"/>
      <c r="W478" s="347"/>
      <c r="X478" s="347"/>
      <c r="Y478" s="347"/>
      <c r="Z478" s="347"/>
      <c r="AA478" s="347"/>
      <c r="AB478" s="347"/>
      <c r="AC478" s="347"/>
      <c r="AD478" s="347"/>
      <c r="AE478" s="347"/>
      <c r="AF478" s="347"/>
      <c r="AG478" s="347"/>
      <c r="AH478" s="347"/>
      <c r="AI478" s="347"/>
      <c r="AJ478" s="347"/>
      <c r="AK478" s="347"/>
      <c r="AL478" s="347"/>
      <c r="AM478" s="347"/>
      <c r="AN478" s="348"/>
      <c r="AO478" s="348"/>
    </row>
    <row r="479" spans="1:41" s="400" customFormat="1" hidden="1">
      <c r="A479" s="779"/>
      <c r="B479" s="1599"/>
      <c r="C479" s="1598"/>
      <c r="D479" s="394"/>
      <c r="E479" s="950"/>
      <c r="F479" s="1600"/>
      <c r="G479" s="1600"/>
      <c r="H479" s="1600">
        <f t="shared" si="20"/>
        <v>0</v>
      </c>
      <c r="I479" s="1600"/>
      <c r="J479" s="1600"/>
      <c r="K479" s="1600"/>
      <c r="L479" s="843"/>
      <c r="M479" s="392"/>
      <c r="N479" s="392"/>
      <c r="O479" s="392"/>
      <c r="P479" s="392"/>
      <c r="Q479" s="392"/>
      <c r="R479" s="392"/>
      <c r="S479" s="392"/>
      <c r="T479" s="392"/>
      <c r="U479" s="392"/>
      <c r="V479" s="392"/>
      <c r="W479" s="392"/>
      <c r="X479" s="392"/>
      <c r="Y479" s="392"/>
      <c r="Z479" s="392"/>
      <c r="AA479" s="392"/>
      <c r="AB479" s="392"/>
      <c r="AC479" s="392"/>
      <c r="AD479" s="392"/>
      <c r="AE479" s="392"/>
      <c r="AF479" s="392"/>
      <c r="AG479" s="392"/>
      <c r="AH479" s="392"/>
      <c r="AI479" s="392"/>
      <c r="AJ479" s="392"/>
      <c r="AK479" s="392"/>
      <c r="AL479" s="392"/>
      <c r="AM479" s="392"/>
      <c r="AN479" s="399"/>
      <c r="AO479" s="399"/>
    </row>
    <row r="480" spans="1:41" s="404" customFormat="1" ht="16.2" hidden="1">
      <c r="A480" s="779" t="s">
        <v>640</v>
      </c>
      <c r="B480" s="1241" t="s">
        <v>198</v>
      </c>
      <c r="C480" s="1215" t="s">
        <v>81</v>
      </c>
      <c r="D480" s="394">
        <f>SUM(D482,D486,D488,D484,D490,D523)</f>
        <v>120257000</v>
      </c>
      <c r="E480" s="950">
        <f>SUM(E482,E486,E488,E484,E490,E523)</f>
        <v>90622000</v>
      </c>
      <c r="F480" s="950">
        <f>SUM(F482,F486,F488,F484,F490,F523)</f>
        <v>105861726</v>
      </c>
      <c r="G480" s="950" t="e">
        <f>SUM(G482,G486,G488,G484,G490,G523)</f>
        <v>#REF!</v>
      </c>
      <c r="H480" s="950" t="e">
        <f t="shared" si="20"/>
        <v>#REF!</v>
      </c>
      <c r="I480" s="950">
        <f>SUM(I482,I486,I488,I484,I490,I523)</f>
        <v>0</v>
      </c>
      <c r="J480" s="950">
        <f>SUM(J482,J486,J488,J484,J490,J523)</f>
        <v>129893000</v>
      </c>
      <c r="K480" s="950" t="e">
        <f>SUM(K482,K486,K488,K484,K490,K523)</f>
        <v>#REF!</v>
      </c>
      <c r="L480" s="845"/>
      <c r="M480" s="401"/>
      <c r="N480" s="402"/>
      <c r="O480" s="402"/>
      <c r="P480" s="402"/>
      <c r="Q480" s="402"/>
      <c r="R480" s="402"/>
      <c r="S480" s="402"/>
      <c r="T480" s="402"/>
      <c r="U480" s="402"/>
      <c r="V480" s="402"/>
      <c r="W480" s="402"/>
      <c r="X480" s="402"/>
      <c r="Y480" s="402"/>
      <c r="Z480" s="402"/>
      <c r="AA480" s="402"/>
      <c r="AB480" s="402"/>
      <c r="AC480" s="402"/>
      <c r="AD480" s="402"/>
      <c r="AE480" s="402"/>
      <c r="AF480" s="402"/>
      <c r="AG480" s="402"/>
      <c r="AH480" s="402"/>
      <c r="AI480" s="402"/>
      <c r="AJ480" s="402"/>
      <c r="AK480" s="402"/>
      <c r="AL480" s="402"/>
      <c r="AM480" s="402"/>
      <c r="AN480" s="403"/>
      <c r="AO480" s="403"/>
    </row>
    <row r="481" spans="1:41" s="404" customFormat="1" ht="16.2" hidden="1">
      <c r="A481" s="779" t="s">
        <v>87</v>
      </c>
      <c r="B481" s="1214" t="s">
        <v>199</v>
      </c>
      <c r="C481" s="1215" t="s">
        <v>81</v>
      </c>
      <c r="D481" s="394">
        <f>SUM(D482,D484)</f>
        <v>53482000</v>
      </c>
      <c r="E481" s="950">
        <f>SUM(E482,E484)</f>
        <v>53482000</v>
      </c>
      <c r="F481" s="950">
        <f>SUM(F482,F484)</f>
        <v>63502000</v>
      </c>
      <c r="G481" s="950">
        <f>SUM(G482,G484)</f>
        <v>58754000</v>
      </c>
      <c r="H481" s="950">
        <f t="shared" si="20"/>
        <v>4748000</v>
      </c>
      <c r="I481" s="950">
        <f>SUM(I482,I484)</f>
        <v>0</v>
      </c>
      <c r="J481" s="950">
        <f>SUM(J482,J484)</f>
        <v>58754000</v>
      </c>
      <c r="K481" s="950" t="e">
        <f>SUM(K482,K484)</f>
        <v>#REF!</v>
      </c>
      <c r="L481" s="845"/>
      <c r="M481" s="401"/>
      <c r="N481" s="402"/>
      <c r="O481" s="402"/>
      <c r="P481" s="402"/>
      <c r="Q481" s="402"/>
      <c r="R481" s="402"/>
      <c r="S481" s="402"/>
      <c r="T481" s="402"/>
      <c r="U481" s="402"/>
      <c r="V481" s="402"/>
      <c r="W481" s="402"/>
      <c r="X481" s="402"/>
      <c r="Y481" s="402"/>
      <c r="Z481" s="402"/>
      <c r="AA481" s="402"/>
      <c r="AB481" s="402"/>
      <c r="AC481" s="402"/>
      <c r="AD481" s="402"/>
      <c r="AE481" s="402"/>
      <c r="AF481" s="402"/>
      <c r="AG481" s="402"/>
      <c r="AH481" s="402"/>
      <c r="AI481" s="402"/>
      <c r="AJ481" s="402"/>
      <c r="AK481" s="402"/>
      <c r="AL481" s="402"/>
      <c r="AM481" s="402"/>
      <c r="AN481" s="403"/>
      <c r="AO481" s="403"/>
    </row>
    <row r="482" spans="1:41" s="404" customFormat="1" ht="16.2" hidden="1">
      <c r="A482" s="779" t="s">
        <v>200</v>
      </c>
      <c r="B482" s="1246" t="s">
        <v>476</v>
      </c>
      <c r="C482" s="1215" t="s">
        <v>1048</v>
      </c>
      <c r="D482" s="394">
        <f>'Pl 2016-20 PFC'!D483</f>
        <v>52282000</v>
      </c>
      <c r="E482" s="950">
        <f>'Pl 2016-20 PFC'!E482</f>
        <v>52282000</v>
      </c>
      <c r="F482" s="950">
        <f>'Pl 2016-20 PFC'!F482</f>
        <v>62282000</v>
      </c>
      <c r="G482" s="950">
        <f>'Pl 2016-20 PFC'!G482</f>
        <v>57554000</v>
      </c>
      <c r="H482" s="950">
        <f t="shared" si="20"/>
        <v>4728000</v>
      </c>
      <c r="I482" s="950">
        <f>'Pl 2016-20 PFC'!H482</f>
        <v>0</v>
      </c>
      <c r="J482" s="950">
        <f>'Pl 2016-20 PFC'!I482</f>
        <v>57554000</v>
      </c>
      <c r="K482" s="950" t="e">
        <f>'Pl 2016-20 PFC'!#REF!</f>
        <v>#REF!</v>
      </c>
      <c r="L482" s="845"/>
      <c r="M482" s="401"/>
      <c r="N482" s="402"/>
      <c r="O482" s="402"/>
      <c r="P482" s="402"/>
      <c r="Q482" s="402"/>
      <c r="R482" s="402"/>
      <c r="S482" s="402"/>
      <c r="T482" s="402"/>
      <c r="U482" s="402"/>
      <c r="V482" s="402"/>
      <c r="W482" s="402"/>
      <c r="X482" s="402"/>
      <c r="Y482" s="402"/>
      <c r="Z482" s="402"/>
      <c r="AA482" s="402"/>
      <c r="AB482" s="402"/>
      <c r="AC482" s="402"/>
      <c r="AD482" s="402"/>
      <c r="AE482" s="402"/>
      <c r="AF482" s="402"/>
      <c r="AG482" s="402"/>
      <c r="AH482" s="402"/>
      <c r="AI482" s="402"/>
      <c r="AJ482" s="402"/>
      <c r="AK482" s="402"/>
      <c r="AL482" s="402"/>
      <c r="AM482" s="402"/>
      <c r="AN482" s="403"/>
      <c r="AO482" s="403"/>
    </row>
    <row r="483" spans="1:41" s="406" customFormat="1" hidden="1">
      <c r="A483" s="779"/>
      <c r="B483" s="1246" t="s">
        <v>145</v>
      </c>
      <c r="C483" s="1215" t="s">
        <v>202</v>
      </c>
      <c r="D483" s="394"/>
      <c r="E483" s="950"/>
      <c r="F483" s="950"/>
      <c r="G483" s="950"/>
      <c r="H483" s="950">
        <f t="shared" si="20"/>
        <v>0</v>
      </c>
      <c r="I483" s="950"/>
      <c r="J483" s="950"/>
      <c r="K483" s="950"/>
      <c r="L483" s="845"/>
      <c r="M483" s="401"/>
      <c r="N483" s="401"/>
      <c r="O483" s="405"/>
      <c r="P483" s="405"/>
      <c r="Q483" s="405"/>
      <c r="R483" s="405"/>
      <c r="S483" s="405"/>
      <c r="T483" s="405"/>
      <c r="U483" s="405"/>
      <c r="V483" s="405"/>
      <c r="W483" s="405"/>
      <c r="X483" s="405"/>
      <c r="Y483" s="405"/>
      <c r="Z483" s="405"/>
      <c r="AA483" s="405"/>
      <c r="AB483" s="405"/>
      <c r="AC483" s="405"/>
      <c r="AD483" s="405"/>
      <c r="AE483" s="405"/>
      <c r="AF483" s="405"/>
      <c r="AG483" s="405"/>
      <c r="AH483" s="405"/>
      <c r="AI483" s="405"/>
      <c r="AJ483" s="405"/>
      <c r="AK483" s="405"/>
      <c r="AL483" s="405"/>
      <c r="AM483" s="405"/>
      <c r="AN483" s="405"/>
      <c r="AO483" s="405"/>
    </row>
    <row r="484" spans="1:41" s="404" customFormat="1" ht="16.2" hidden="1">
      <c r="A484" s="779" t="s">
        <v>203</v>
      </c>
      <c r="B484" s="1246" t="s">
        <v>477</v>
      </c>
      <c r="C484" s="1215" t="s">
        <v>205</v>
      </c>
      <c r="D484" s="394">
        <f>'Pl 2016-20 PFC'!D486</f>
        <v>1200000</v>
      </c>
      <c r="E484" s="950">
        <f>'Pl 2016-20 PFC'!E486</f>
        <v>1200000</v>
      </c>
      <c r="F484" s="950">
        <f>'Pl 2016-20 PFC'!F486</f>
        <v>1220000</v>
      </c>
      <c r="G484" s="950">
        <f>'Pl 2016-20 PFC'!G486</f>
        <v>1200000</v>
      </c>
      <c r="H484" s="950">
        <f t="shared" si="20"/>
        <v>20000</v>
      </c>
      <c r="I484" s="950">
        <f>'Pl 2016-20 PFC'!H486</f>
        <v>0</v>
      </c>
      <c r="J484" s="950">
        <f>'Pl 2016-20 PFC'!I486</f>
        <v>1200000</v>
      </c>
      <c r="K484" s="950" t="e">
        <f>'Pl 2016-20 PFC'!#REF!</f>
        <v>#REF!</v>
      </c>
      <c r="L484" s="845"/>
      <c r="M484" s="401"/>
      <c r="N484" s="402"/>
      <c r="O484" s="402"/>
      <c r="P484" s="402"/>
      <c r="Q484" s="402"/>
      <c r="R484" s="402"/>
      <c r="S484" s="402"/>
      <c r="T484" s="402"/>
      <c r="U484" s="402"/>
      <c r="V484" s="402"/>
      <c r="W484" s="402"/>
      <c r="X484" s="402"/>
      <c r="Y484" s="402"/>
      <c r="Z484" s="402"/>
      <c r="AA484" s="402"/>
      <c r="AB484" s="402"/>
      <c r="AC484" s="402"/>
      <c r="AD484" s="402"/>
      <c r="AE484" s="402"/>
      <c r="AF484" s="402"/>
      <c r="AG484" s="402"/>
      <c r="AH484" s="402"/>
      <c r="AI484" s="402"/>
      <c r="AJ484" s="402"/>
      <c r="AK484" s="402"/>
      <c r="AL484" s="402"/>
      <c r="AM484" s="402"/>
      <c r="AN484" s="403"/>
      <c r="AO484" s="403"/>
    </row>
    <row r="485" spans="1:41" s="406" customFormat="1" hidden="1">
      <c r="A485" s="779"/>
      <c r="B485" s="1214" t="s">
        <v>145</v>
      </c>
      <c r="C485" s="1215" t="s">
        <v>205</v>
      </c>
      <c r="D485" s="394"/>
      <c r="E485" s="950"/>
      <c r="F485" s="950"/>
      <c r="G485" s="950"/>
      <c r="H485" s="950">
        <f t="shared" si="20"/>
        <v>0</v>
      </c>
      <c r="I485" s="950"/>
      <c r="J485" s="950"/>
      <c r="K485" s="950"/>
      <c r="L485" s="845"/>
      <c r="M485" s="401"/>
      <c r="N485" s="401"/>
      <c r="O485" s="407"/>
      <c r="P485" s="407"/>
      <c r="Q485" s="407"/>
      <c r="R485" s="407"/>
      <c r="S485" s="405"/>
      <c r="T485" s="405"/>
      <c r="U485" s="405"/>
      <c r="V485" s="405"/>
      <c r="W485" s="405"/>
      <c r="X485" s="405"/>
      <c r="Y485" s="405"/>
      <c r="Z485" s="405"/>
      <c r="AA485" s="405"/>
      <c r="AB485" s="405"/>
      <c r="AC485" s="405"/>
      <c r="AD485" s="405"/>
      <c r="AE485" s="405"/>
      <c r="AF485" s="405"/>
      <c r="AG485" s="405"/>
      <c r="AH485" s="405"/>
      <c r="AI485" s="405"/>
      <c r="AJ485" s="405"/>
      <c r="AK485" s="405"/>
      <c r="AL485" s="405"/>
      <c r="AM485" s="405"/>
      <c r="AN485" s="405"/>
      <c r="AO485" s="405"/>
    </row>
    <row r="486" spans="1:41" s="404" customFormat="1" ht="16.2" hidden="1">
      <c r="A486" s="779" t="s">
        <v>89</v>
      </c>
      <c r="B486" s="1214" t="s">
        <v>402</v>
      </c>
      <c r="C486" s="1215" t="s">
        <v>1057</v>
      </c>
      <c r="D486" s="394">
        <f>'Pl 2016-20 PFC'!D488</f>
        <v>9392000</v>
      </c>
      <c r="E486" s="950">
        <f>'Pl 2016-20 PFC'!E487</f>
        <v>9392000</v>
      </c>
      <c r="F486" s="950">
        <f>'Pl 2016-20 PFC'!F487</f>
        <v>11866000</v>
      </c>
      <c r="G486" s="950">
        <f>'Pl 2016-20 PFC'!G487</f>
        <v>11100000</v>
      </c>
      <c r="H486" s="950">
        <f t="shared" si="20"/>
        <v>766000</v>
      </c>
      <c r="I486" s="950">
        <f>'Pl 2016-20 PFC'!H487</f>
        <v>0</v>
      </c>
      <c r="J486" s="950">
        <f>'Pl 2016-20 PFC'!I487</f>
        <v>11100000</v>
      </c>
      <c r="K486" s="950" t="e">
        <f>'Pl 2016-20 PFC'!#REF!</f>
        <v>#REF!</v>
      </c>
      <c r="L486" s="845"/>
      <c r="M486" s="401"/>
      <c r="N486" s="402"/>
      <c r="O486" s="402"/>
      <c r="P486" s="402"/>
      <c r="Q486" s="402"/>
      <c r="R486" s="402"/>
      <c r="S486" s="402"/>
      <c r="T486" s="402"/>
      <c r="U486" s="402"/>
      <c r="V486" s="402"/>
      <c r="W486" s="402"/>
      <c r="X486" s="402"/>
      <c r="Y486" s="402"/>
      <c r="Z486" s="402"/>
      <c r="AA486" s="402"/>
      <c r="AB486" s="402"/>
      <c r="AC486" s="402"/>
      <c r="AD486" s="402"/>
      <c r="AE486" s="402"/>
      <c r="AF486" s="402"/>
      <c r="AG486" s="402"/>
      <c r="AH486" s="402"/>
      <c r="AI486" s="402"/>
      <c r="AJ486" s="402"/>
      <c r="AK486" s="402"/>
      <c r="AL486" s="402"/>
      <c r="AM486" s="402"/>
      <c r="AN486" s="403"/>
      <c r="AO486" s="403"/>
    </row>
    <row r="487" spans="1:41" s="406" customFormat="1" hidden="1">
      <c r="A487" s="779"/>
      <c r="B487" s="1214" t="s">
        <v>145</v>
      </c>
      <c r="C487" s="1215" t="s">
        <v>208</v>
      </c>
      <c r="D487" s="394"/>
      <c r="E487" s="950"/>
      <c r="F487" s="950"/>
      <c r="G487" s="950"/>
      <c r="H487" s="950">
        <f t="shared" si="20"/>
        <v>0</v>
      </c>
      <c r="I487" s="950"/>
      <c r="J487" s="950"/>
      <c r="K487" s="950"/>
      <c r="L487" s="845"/>
      <c r="M487" s="401"/>
      <c r="N487" s="401"/>
      <c r="O487" s="405"/>
      <c r="P487" s="405"/>
      <c r="Q487" s="405"/>
      <c r="R487" s="405"/>
      <c r="S487" s="405"/>
      <c r="T487" s="405"/>
      <c r="U487" s="405"/>
      <c r="V487" s="405"/>
      <c r="W487" s="405"/>
      <c r="X487" s="405"/>
      <c r="Y487" s="405"/>
      <c r="Z487" s="405"/>
      <c r="AA487" s="405"/>
      <c r="AB487" s="405"/>
      <c r="AC487" s="405"/>
      <c r="AD487" s="405"/>
      <c r="AE487" s="405"/>
      <c r="AF487" s="405"/>
      <c r="AG487" s="405"/>
      <c r="AH487" s="405"/>
      <c r="AI487" s="405"/>
      <c r="AJ487" s="405"/>
      <c r="AK487" s="405"/>
      <c r="AL487" s="405"/>
      <c r="AM487" s="405"/>
      <c r="AN487" s="405"/>
      <c r="AO487" s="405"/>
    </row>
    <row r="488" spans="1:41" s="404" customFormat="1" ht="16.2" hidden="1">
      <c r="A488" s="779" t="s">
        <v>206</v>
      </c>
      <c r="B488" s="1214" t="s">
        <v>404</v>
      </c>
      <c r="C488" s="1215" t="s">
        <v>1055</v>
      </c>
      <c r="D488" s="394">
        <f>'Pl 2016-20 PFC'!D491</f>
        <v>1311000</v>
      </c>
      <c r="E488" s="950">
        <f>'Pl 2016-20 PFC'!E490</f>
        <v>1311000</v>
      </c>
      <c r="F488" s="950">
        <f>'Pl 2016-20 PFC'!F490</f>
        <v>1660000</v>
      </c>
      <c r="G488" s="950">
        <f>'Pl 2016-20 PFC'!G490</f>
        <v>1544000</v>
      </c>
      <c r="H488" s="950">
        <f t="shared" si="20"/>
        <v>116000</v>
      </c>
      <c r="I488" s="950">
        <f>'Pl 2016-20 PFC'!H490</f>
        <v>0</v>
      </c>
      <c r="J488" s="950">
        <f>'Pl 2016-20 PFC'!I490</f>
        <v>1544000</v>
      </c>
      <c r="K488" s="950" t="e">
        <f>'Pl 2016-20 PFC'!#REF!</f>
        <v>#REF!</v>
      </c>
      <c r="L488" s="845"/>
      <c r="M488" s="401"/>
      <c r="N488" s="402"/>
      <c r="O488" s="402"/>
      <c r="P488" s="402"/>
      <c r="Q488" s="402"/>
      <c r="R488" s="402"/>
      <c r="S488" s="402"/>
      <c r="T488" s="402"/>
      <c r="U488" s="402"/>
      <c r="V488" s="402"/>
      <c r="W488" s="402"/>
      <c r="X488" s="402"/>
      <c r="Y488" s="402"/>
      <c r="Z488" s="402"/>
      <c r="AA488" s="402"/>
      <c r="AB488" s="402"/>
      <c r="AC488" s="402"/>
      <c r="AD488" s="402"/>
      <c r="AE488" s="402"/>
      <c r="AF488" s="402"/>
      <c r="AG488" s="402"/>
      <c r="AH488" s="402"/>
      <c r="AI488" s="402"/>
      <c r="AJ488" s="402"/>
      <c r="AK488" s="402"/>
      <c r="AL488" s="402"/>
      <c r="AM488" s="402"/>
      <c r="AN488" s="403"/>
      <c r="AO488" s="403"/>
    </row>
    <row r="489" spans="1:41" s="406" customFormat="1" hidden="1">
      <c r="A489" s="779"/>
      <c r="B489" s="1214" t="s">
        <v>145</v>
      </c>
      <c r="C489" s="1215" t="s">
        <v>211</v>
      </c>
      <c r="D489" s="394"/>
      <c r="E489" s="950"/>
      <c r="F489" s="950"/>
      <c r="G489" s="950"/>
      <c r="H489" s="950">
        <f t="shared" si="20"/>
        <v>0</v>
      </c>
      <c r="I489" s="950"/>
      <c r="J489" s="950"/>
      <c r="K489" s="950"/>
      <c r="L489" s="845"/>
      <c r="M489" s="401"/>
      <c r="N489" s="401"/>
      <c r="O489" s="405"/>
      <c r="P489" s="405"/>
      <c r="Q489" s="405"/>
      <c r="R489" s="405"/>
      <c r="S489" s="405"/>
      <c r="T489" s="405"/>
      <c r="U489" s="405"/>
      <c r="V489" s="405"/>
      <c r="W489" s="405"/>
      <c r="X489" s="405"/>
      <c r="Y489" s="405"/>
      <c r="Z489" s="405"/>
      <c r="AA489" s="405"/>
      <c r="AB489" s="405"/>
      <c r="AC489" s="405"/>
      <c r="AD489" s="405"/>
      <c r="AE489" s="405"/>
      <c r="AF489" s="405"/>
      <c r="AG489" s="405"/>
      <c r="AH489" s="405"/>
      <c r="AI489" s="405"/>
      <c r="AJ489" s="405"/>
      <c r="AK489" s="405"/>
      <c r="AL489" s="405"/>
      <c r="AM489" s="405"/>
      <c r="AN489" s="405"/>
      <c r="AO489" s="405"/>
    </row>
    <row r="490" spans="1:41" s="404" customFormat="1" ht="16.2" hidden="1">
      <c r="A490" s="779" t="s">
        <v>212</v>
      </c>
      <c r="B490" s="1214" t="s">
        <v>213</v>
      </c>
      <c r="C490" s="1215" t="s">
        <v>81</v>
      </c>
      <c r="D490" s="394">
        <f>SUM(D491:D491)</f>
        <v>56072000</v>
      </c>
      <c r="E490" s="950">
        <f>SUM(E491:E491)</f>
        <v>26437000</v>
      </c>
      <c r="F490" s="950">
        <f>SUM(F491:F491)</f>
        <v>28833726</v>
      </c>
      <c r="G490" s="950" t="e">
        <f>SUM(G491:G491)</f>
        <v>#REF!</v>
      </c>
      <c r="H490" s="950" t="e">
        <f t="shared" si="20"/>
        <v>#REF!</v>
      </c>
      <c r="I490" s="950">
        <f>SUM(I491:I491)</f>
        <v>0</v>
      </c>
      <c r="J490" s="950">
        <f>SUM(J491:J491)</f>
        <v>58495000</v>
      </c>
      <c r="K490" s="950" t="e">
        <f>SUM(K491:K491)</f>
        <v>#REF!</v>
      </c>
      <c r="L490" s="845"/>
      <c r="M490" s="401"/>
      <c r="N490" s="402"/>
      <c r="O490" s="402"/>
      <c r="P490" s="402"/>
      <c r="Q490" s="402"/>
      <c r="R490" s="402"/>
      <c r="S490" s="402"/>
      <c r="T490" s="402"/>
      <c r="U490" s="402"/>
      <c r="V490" s="402"/>
      <c r="W490" s="402"/>
      <c r="X490" s="402"/>
      <c r="Y490" s="402"/>
      <c r="Z490" s="402"/>
      <c r="AA490" s="402"/>
      <c r="AB490" s="402"/>
      <c r="AC490" s="402"/>
      <c r="AD490" s="402"/>
      <c r="AE490" s="402"/>
      <c r="AF490" s="402"/>
      <c r="AG490" s="402"/>
      <c r="AH490" s="402"/>
      <c r="AI490" s="402"/>
      <c r="AJ490" s="402"/>
      <c r="AK490" s="402"/>
      <c r="AL490" s="402"/>
      <c r="AM490" s="402"/>
      <c r="AN490" s="403"/>
      <c r="AO490" s="403"/>
    </row>
    <row r="491" spans="1:41" s="404" customFormat="1" ht="16.2" hidden="1">
      <c r="A491" s="779"/>
      <c r="B491" s="1214" t="s">
        <v>145</v>
      </c>
      <c r="C491" s="1215" t="s">
        <v>81</v>
      </c>
      <c r="D491" s="394">
        <f>SUM(D493,D501)</f>
        <v>56072000</v>
      </c>
      <c r="E491" s="950">
        <f>SUM(E493,E501)</f>
        <v>26437000</v>
      </c>
      <c r="F491" s="950">
        <f>SUM(F493,F501)</f>
        <v>28833726</v>
      </c>
      <c r="G491" s="950" t="e">
        <f>SUM(G493,G501)</f>
        <v>#REF!</v>
      </c>
      <c r="H491" s="950" t="e">
        <f t="shared" si="20"/>
        <v>#REF!</v>
      </c>
      <c r="I491" s="950">
        <f>SUM(I493,I501)</f>
        <v>0</v>
      </c>
      <c r="J491" s="950">
        <f>SUM(J493,J501)</f>
        <v>58495000</v>
      </c>
      <c r="K491" s="950" t="e">
        <f>SUM(K493,K501)</f>
        <v>#REF!</v>
      </c>
      <c r="L491" s="845"/>
      <c r="M491" s="401"/>
      <c r="N491" s="402"/>
      <c r="O491" s="402"/>
      <c r="P491" s="402"/>
      <c r="Q491" s="402"/>
      <c r="R491" s="402"/>
      <c r="S491" s="402"/>
      <c r="T491" s="402"/>
      <c r="U491" s="402"/>
      <c r="V491" s="402"/>
      <c r="W491" s="402"/>
      <c r="X491" s="402"/>
      <c r="Y491" s="402"/>
      <c r="Z491" s="402"/>
      <c r="AA491" s="402"/>
      <c r="AB491" s="402"/>
      <c r="AC491" s="402"/>
      <c r="AD491" s="402"/>
      <c r="AE491" s="402"/>
      <c r="AF491" s="402"/>
      <c r="AG491" s="402"/>
      <c r="AH491" s="402"/>
      <c r="AI491" s="402"/>
      <c r="AJ491" s="402"/>
      <c r="AK491" s="402"/>
      <c r="AL491" s="402"/>
      <c r="AM491" s="402"/>
      <c r="AN491" s="403"/>
      <c r="AO491" s="403"/>
    </row>
    <row r="492" spans="1:41" s="406" customFormat="1" hidden="1">
      <c r="A492" s="779"/>
      <c r="B492" s="1214" t="s">
        <v>82</v>
      </c>
      <c r="C492" s="1215"/>
      <c r="D492" s="394"/>
      <c r="E492" s="950"/>
      <c r="F492" s="950"/>
      <c r="G492" s="950"/>
      <c r="H492" s="950">
        <f t="shared" si="20"/>
        <v>0</v>
      </c>
      <c r="I492" s="950"/>
      <c r="J492" s="950"/>
      <c r="K492" s="950"/>
      <c r="L492" s="845"/>
      <c r="M492" s="401"/>
      <c r="N492" s="401"/>
      <c r="O492" s="405"/>
      <c r="P492" s="405"/>
      <c r="Q492" s="405"/>
      <c r="R492" s="405"/>
      <c r="S492" s="405"/>
      <c r="T492" s="405"/>
      <c r="U492" s="405"/>
      <c r="V492" s="405"/>
      <c r="W492" s="405"/>
      <c r="X492" s="405"/>
      <c r="Y492" s="405"/>
      <c r="Z492" s="405"/>
      <c r="AA492" s="405"/>
      <c r="AB492" s="405"/>
      <c r="AC492" s="405"/>
      <c r="AD492" s="405"/>
      <c r="AE492" s="405"/>
      <c r="AF492" s="405"/>
      <c r="AG492" s="405"/>
      <c r="AH492" s="405"/>
      <c r="AI492" s="405"/>
      <c r="AJ492" s="405"/>
      <c r="AK492" s="405"/>
      <c r="AL492" s="405"/>
      <c r="AM492" s="405"/>
      <c r="AN492" s="405"/>
      <c r="AO492" s="405"/>
    </row>
    <row r="493" spans="1:41" s="404" customFormat="1" ht="16.2" hidden="1">
      <c r="A493" s="779" t="s">
        <v>209</v>
      </c>
      <c r="B493" s="1214" t="s">
        <v>666</v>
      </c>
      <c r="C493" s="1215" t="s">
        <v>1076</v>
      </c>
      <c r="D493" s="394">
        <f>'Pl 2016-20 PFC'!D497</f>
        <v>47189000</v>
      </c>
      <c r="E493" s="950">
        <f>'Pl 2016-20 PFC'!E497</f>
        <v>17554000</v>
      </c>
      <c r="F493" s="950">
        <f>'Pl 2016-20 PFC'!F497</f>
        <v>17687000</v>
      </c>
      <c r="G493" s="950" t="e">
        <f>'Pl 2016-20 PFC'!G497+'Pl 2016-20 PFC'!#REF!</f>
        <v>#REF!</v>
      </c>
      <c r="H493" s="950" t="e">
        <f t="shared" si="20"/>
        <v>#REF!</v>
      </c>
      <c r="I493" s="950">
        <f>'Pl 2016-20 PFC'!H497+'Pl 2016-20 PFC'!H241</f>
        <v>0</v>
      </c>
      <c r="J493" s="950">
        <f>'Pl 2016-20 PFC'!I497+'Pl 2016-20 PFC'!I241</f>
        <v>47348000</v>
      </c>
      <c r="K493" s="950" t="e">
        <f>'Pl 2016-20 PFC'!#REF!</f>
        <v>#REF!</v>
      </c>
      <c r="L493" s="845"/>
      <c r="M493" s="401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  <c r="AA493" s="402"/>
      <c r="AB493" s="402"/>
      <c r="AC493" s="402"/>
      <c r="AD493" s="402"/>
      <c r="AE493" s="402"/>
      <c r="AF493" s="402"/>
      <c r="AG493" s="402"/>
      <c r="AH493" s="402"/>
      <c r="AI493" s="402"/>
      <c r="AJ493" s="402"/>
      <c r="AK493" s="402"/>
      <c r="AL493" s="402"/>
      <c r="AM493" s="402"/>
      <c r="AN493" s="403"/>
      <c r="AO493" s="403"/>
    </row>
    <row r="494" spans="1:41" s="406" customFormat="1" hidden="1">
      <c r="A494" s="779" t="s">
        <v>407</v>
      </c>
      <c r="B494" s="1214" t="s">
        <v>408</v>
      </c>
      <c r="C494" s="1215" t="s">
        <v>221</v>
      </c>
      <c r="D494" s="394">
        <f>'Pl 2016-20 PFC'!D501</f>
        <v>1616000</v>
      </c>
      <c r="E494" s="950">
        <f>'Pl 2016-20 PFC'!E501</f>
        <v>1596000</v>
      </c>
      <c r="F494" s="950">
        <f>'Pl 2016-20 PFC'!F501</f>
        <v>1619000</v>
      </c>
      <c r="G494" s="950">
        <f>'Pl 2016-20 PFC'!G501</f>
        <v>1619000</v>
      </c>
      <c r="H494" s="950">
        <f t="shared" si="20"/>
        <v>0</v>
      </c>
      <c r="I494" s="950">
        <f>'Pl 2016-20 PFC'!H501</f>
        <v>0</v>
      </c>
      <c r="J494" s="950">
        <f>'Pl 2016-20 PFC'!I501</f>
        <v>1619000</v>
      </c>
      <c r="K494" s="950" t="e">
        <f>'Pl 2016-20 PFC'!#REF!</f>
        <v>#REF!</v>
      </c>
      <c r="L494" s="845"/>
      <c r="M494" s="401"/>
      <c r="N494" s="401"/>
      <c r="O494" s="408"/>
      <c r="P494" s="409"/>
      <c r="Q494" s="408"/>
      <c r="R494" s="408"/>
      <c r="S494" s="405"/>
      <c r="T494" s="405"/>
      <c r="U494" s="405"/>
      <c r="V494" s="405"/>
      <c r="W494" s="405"/>
      <c r="X494" s="405"/>
      <c r="Y494" s="405"/>
      <c r="Z494" s="405"/>
      <c r="AA494" s="405"/>
      <c r="AB494" s="405"/>
      <c r="AC494" s="405"/>
      <c r="AD494" s="405"/>
      <c r="AE494" s="405"/>
      <c r="AF494" s="405"/>
      <c r="AG494" s="405"/>
      <c r="AH494" s="405"/>
      <c r="AI494" s="405"/>
      <c r="AJ494" s="405"/>
      <c r="AK494" s="405"/>
      <c r="AL494" s="405"/>
      <c r="AM494" s="405"/>
      <c r="AN494" s="405"/>
      <c r="AO494" s="405"/>
    </row>
    <row r="495" spans="1:41" s="406" customFormat="1" hidden="1">
      <c r="A495" s="779"/>
      <c r="B495" s="1214" t="s">
        <v>222</v>
      </c>
      <c r="C495" s="1215" t="s">
        <v>223</v>
      </c>
      <c r="D495" s="394">
        <f>'Pl 2016-20 PFC'!D502</f>
        <v>856000</v>
      </c>
      <c r="E495" s="950">
        <f>'Pl 2016-20 PFC'!E502</f>
        <v>856000</v>
      </c>
      <c r="F495" s="950">
        <f>'Pl 2016-20 PFC'!F502</f>
        <v>874000</v>
      </c>
      <c r="G495" s="950">
        <f>'Pl 2016-20 PFC'!G502</f>
        <v>879000</v>
      </c>
      <c r="H495" s="950">
        <f t="shared" si="20"/>
        <v>-5000</v>
      </c>
      <c r="I495" s="950">
        <f>'Pl 2016-20 PFC'!H502</f>
        <v>0</v>
      </c>
      <c r="J495" s="950">
        <f>'Pl 2016-20 PFC'!I502</f>
        <v>879000</v>
      </c>
      <c r="K495" s="950" t="e">
        <f>'Pl 2016-20 PFC'!#REF!</f>
        <v>#REF!</v>
      </c>
      <c r="L495" s="845"/>
      <c r="M495" s="401"/>
      <c r="N495" s="401"/>
      <c r="O495" s="408"/>
      <c r="P495" s="410"/>
      <c r="Q495" s="408"/>
      <c r="R495" s="408"/>
      <c r="S495" s="405"/>
      <c r="T495" s="411"/>
      <c r="U495" s="405"/>
      <c r="V495" s="405"/>
      <c r="W495" s="405"/>
      <c r="X495" s="405"/>
      <c r="Y495" s="405"/>
      <c r="Z495" s="405"/>
      <c r="AA495" s="405"/>
      <c r="AB495" s="405"/>
      <c r="AC495" s="405"/>
      <c r="AD495" s="405"/>
      <c r="AE495" s="405"/>
      <c r="AF495" s="405"/>
      <c r="AG495" s="405"/>
      <c r="AH495" s="405"/>
      <c r="AI495" s="405"/>
      <c r="AJ495" s="405"/>
      <c r="AK495" s="405"/>
      <c r="AL495" s="405"/>
      <c r="AM495" s="405"/>
      <c r="AN495" s="405"/>
      <c r="AO495" s="405"/>
    </row>
    <row r="496" spans="1:41" s="406" customFormat="1" hidden="1">
      <c r="A496" s="779"/>
      <c r="B496" s="1214" t="s">
        <v>224</v>
      </c>
      <c r="C496" s="1215" t="s">
        <v>225</v>
      </c>
      <c r="D496" s="394" t="e">
        <f>'Pl 2016-20 PFC'!#REF!</f>
        <v>#REF!</v>
      </c>
      <c r="E496" s="950" t="e">
        <f>'Pl 2016-20 PFC'!#REF!</f>
        <v>#REF!</v>
      </c>
      <c r="F496" s="950" t="e">
        <f>'Pl 2016-20 PFC'!#REF!</f>
        <v>#REF!</v>
      </c>
      <c r="G496" s="950">
        <f>'Pl 2016-20 PFC'!G246+'Pl 2016-20 PFC'!G247</f>
        <v>29649000</v>
      </c>
      <c r="H496" s="950">
        <f>'Pl 2016-20 PFC'!H246+'Pl 2016-20 PFC'!H247</f>
        <v>0</v>
      </c>
      <c r="I496" s="950">
        <f>'Pl 2016-20 PFC'!H246+'Pl 2016-20 PFC'!H247</f>
        <v>0</v>
      </c>
      <c r="J496" s="950">
        <f>G496+I496</f>
        <v>29649000</v>
      </c>
      <c r="K496" s="950" t="e">
        <f>'Pl 2016-20 PFC'!#REF!</f>
        <v>#REF!</v>
      </c>
      <c r="L496" s="845"/>
      <c r="M496" s="401"/>
      <c r="N496" s="401"/>
      <c r="O496" s="405"/>
      <c r="P496" s="405"/>
      <c r="Q496" s="405"/>
      <c r="R496" s="405"/>
      <c r="S496" s="405"/>
      <c r="T496" s="405"/>
      <c r="U496" s="405"/>
      <c r="V496" s="405"/>
      <c r="W496" s="405"/>
      <c r="X496" s="405"/>
      <c r="Y496" s="405"/>
      <c r="Z496" s="405"/>
      <c r="AA496" s="405"/>
      <c r="AB496" s="405"/>
      <c r="AC496" s="405"/>
      <c r="AD496" s="405"/>
      <c r="AE496" s="405"/>
      <c r="AF496" s="405"/>
      <c r="AG496" s="405"/>
      <c r="AH496" s="405"/>
      <c r="AI496" s="405"/>
      <c r="AJ496" s="405"/>
      <c r="AK496" s="405"/>
      <c r="AL496" s="405"/>
      <c r="AM496" s="405"/>
      <c r="AN496" s="405"/>
      <c r="AO496" s="405"/>
    </row>
    <row r="497" spans="1:42" s="406" customFormat="1" hidden="1">
      <c r="A497" s="779"/>
      <c r="B497" s="1214" t="s">
        <v>226</v>
      </c>
      <c r="C497" s="1215" t="s">
        <v>227</v>
      </c>
      <c r="D497" s="394">
        <f>'Pl 2016-20 PFC'!D505</f>
        <v>0</v>
      </c>
      <c r="E497" s="950">
        <f>'Pl 2016-20 PFC'!E505</f>
        <v>0</v>
      </c>
      <c r="F497" s="950">
        <f>'Pl 2016-20 PFC'!F505</f>
        <v>0</v>
      </c>
      <c r="G497" s="950">
        <f>'Pl 2016-20 PFC'!G505</f>
        <v>0</v>
      </c>
      <c r="H497" s="950">
        <f t="shared" si="20"/>
        <v>0</v>
      </c>
      <c r="I497" s="950">
        <f>'Pl 2016-20 PFC'!H505</f>
        <v>0</v>
      </c>
      <c r="J497" s="950">
        <f>'Pl 2016-20 PFC'!I505</f>
        <v>0</v>
      </c>
      <c r="K497" s="950" t="e">
        <f>'Pl 2016-20 PFC'!#REF!</f>
        <v>#REF!</v>
      </c>
      <c r="L497" s="845"/>
      <c r="M497" s="401"/>
      <c r="N497" s="401"/>
      <c r="O497" s="405"/>
      <c r="P497" s="405"/>
      <c r="Q497" s="405"/>
      <c r="R497" s="405"/>
      <c r="S497" s="405"/>
      <c r="T497" s="405"/>
      <c r="U497" s="405"/>
      <c r="V497" s="405"/>
      <c r="W497" s="405"/>
      <c r="X497" s="405"/>
      <c r="Y497" s="405"/>
      <c r="Z497" s="405"/>
      <c r="AA497" s="405"/>
      <c r="AB497" s="405"/>
      <c r="AC497" s="405"/>
      <c r="AD497" s="405"/>
      <c r="AE497" s="405"/>
      <c r="AF497" s="405"/>
      <c r="AG497" s="405"/>
      <c r="AH497" s="405"/>
      <c r="AI497" s="405"/>
      <c r="AJ497" s="405"/>
      <c r="AK497" s="405"/>
      <c r="AL497" s="405"/>
      <c r="AM497" s="405"/>
      <c r="AN497" s="405"/>
      <c r="AO497" s="405"/>
    </row>
    <row r="498" spans="1:42" s="406" customFormat="1" hidden="1">
      <c r="A498" s="779"/>
      <c r="B498" s="1214" t="s">
        <v>228</v>
      </c>
      <c r="C498" s="1215" t="s">
        <v>229</v>
      </c>
      <c r="D498" s="394">
        <f>'Pl 2016-20 PFC'!D506</f>
        <v>2755000</v>
      </c>
      <c r="E498" s="950">
        <f>'Pl 2016-20 PFC'!E506</f>
        <v>2745000</v>
      </c>
      <c r="F498" s="950">
        <f>'Pl 2016-20 PFC'!F506</f>
        <v>2740000</v>
      </c>
      <c r="G498" s="950">
        <f>'Pl 2016-20 PFC'!G506</f>
        <v>2740000</v>
      </c>
      <c r="H498" s="950">
        <f t="shared" si="20"/>
        <v>0</v>
      </c>
      <c r="I498" s="950">
        <f>'Pl 2016-20 PFC'!H506</f>
        <v>0</v>
      </c>
      <c r="J498" s="950">
        <f>'Pl 2016-20 PFC'!I506</f>
        <v>2740000</v>
      </c>
      <c r="K498" s="950" t="e">
        <f>'Pl 2016-20 PFC'!#REF!</f>
        <v>#REF!</v>
      </c>
      <c r="L498" s="845"/>
      <c r="M498" s="401"/>
      <c r="N498" s="401"/>
      <c r="O498" s="405"/>
      <c r="P498" s="405"/>
      <c r="Q498" s="405"/>
      <c r="R498" s="405"/>
      <c r="S498" s="405"/>
      <c r="T498" s="405"/>
      <c r="U498" s="405"/>
      <c r="V498" s="405"/>
      <c r="W498" s="405"/>
      <c r="X498" s="405"/>
      <c r="Y498" s="405"/>
      <c r="Z498" s="405"/>
      <c r="AA498" s="405"/>
      <c r="AB498" s="405"/>
      <c r="AC498" s="405"/>
      <c r="AD498" s="405"/>
      <c r="AE498" s="405"/>
      <c r="AF498" s="405"/>
      <c r="AG498" s="405"/>
      <c r="AH498" s="405"/>
      <c r="AI498" s="405"/>
      <c r="AJ498" s="405"/>
      <c r="AK498" s="405"/>
      <c r="AL498" s="405"/>
      <c r="AM498" s="405"/>
      <c r="AN498" s="405"/>
      <c r="AO498" s="405"/>
    </row>
    <row r="499" spans="1:42" s="406" customFormat="1" hidden="1">
      <c r="A499" s="779"/>
      <c r="B499" s="1214" t="s">
        <v>231</v>
      </c>
      <c r="C499" s="1215" t="s">
        <v>232</v>
      </c>
      <c r="D499" s="394">
        <f>'Pl 2016-20 PFC'!D507</f>
        <v>27000</v>
      </c>
      <c r="E499" s="950">
        <f>'Pl 2016-20 PFC'!E507</f>
        <v>27000</v>
      </c>
      <c r="F499" s="950">
        <f>'Pl 2016-20 PFC'!F507</f>
        <v>27000</v>
      </c>
      <c r="G499" s="950">
        <f>'Pl 2016-20 PFC'!G507</f>
        <v>27000</v>
      </c>
      <c r="H499" s="950">
        <f t="shared" si="20"/>
        <v>0</v>
      </c>
      <c r="I499" s="950">
        <f>'Pl 2016-20 PFC'!H507</f>
        <v>0</v>
      </c>
      <c r="J499" s="950">
        <f>'Pl 2016-20 PFC'!I507</f>
        <v>27000</v>
      </c>
      <c r="K499" s="950" t="e">
        <f>'Pl 2016-20 PFC'!#REF!</f>
        <v>#REF!</v>
      </c>
      <c r="L499" s="845"/>
      <c r="M499" s="401"/>
      <c r="N499" s="401"/>
      <c r="O499" s="405"/>
      <c r="P499" s="405"/>
      <c r="Q499" s="405"/>
      <c r="R499" s="405"/>
      <c r="S499" s="405"/>
      <c r="T499" s="405"/>
      <c r="U499" s="405"/>
      <c r="V499" s="405"/>
      <c r="W499" s="405"/>
      <c r="X499" s="405"/>
      <c r="Y499" s="405"/>
      <c r="Z499" s="405"/>
      <c r="AA499" s="405"/>
      <c r="AB499" s="405"/>
      <c r="AC499" s="405"/>
      <c r="AD499" s="405"/>
      <c r="AE499" s="405"/>
      <c r="AF499" s="405"/>
      <c r="AG499" s="405"/>
      <c r="AH499" s="405"/>
      <c r="AI499" s="405"/>
      <c r="AJ499" s="405"/>
      <c r="AK499" s="405"/>
      <c r="AL499" s="405"/>
      <c r="AM499" s="405"/>
      <c r="AN499" s="405"/>
      <c r="AO499" s="405"/>
    </row>
    <row r="500" spans="1:42" s="406" customFormat="1" hidden="1">
      <c r="A500" s="779"/>
      <c r="B500" s="1214" t="s">
        <v>233</v>
      </c>
      <c r="C500" s="1215" t="s">
        <v>234</v>
      </c>
      <c r="D500" s="394">
        <f>'Pl 2016-20 PFC'!D508</f>
        <v>6513000</v>
      </c>
      <c r="E500" s="950">
        <f>'Pl 2016-20 PFC'!E508</f>
        <v>6513000</v>
      </c>
      <c r="F500" s="950">
        <f>'Pl 2016-20 PFC'!F508</f>
        <v>6627000</v>
      </c>
      <c r="G500" s="950">
        <f>'Pl 2016-20 PFC'!G508</f>
        <v>6615000</v>
      </c>
      <c r="H500" s="950">
        <f t="shared" si="20"/>
        <v>12000</v>
      </c>
      <c r="I500" s="950">
        <f>'Pl 2016-20 PFC'!H508</f>
        <v>0</v>
      </c>
      <c r="J500" s="950">
        <f>'Pl 2016-20 PFC'!I508</f>
        <v>6615000</v>
      </c>
      <c r="K500" s="950" t="e">
        <f>'Pl 2016-20 PFC'!#REF!</f>
        <v>#REF!</v>
      </c>
      <c r="L500" s="845"/>
      <c r="M500" s="401"/>
      <c r="N500" s="401"/>
      <c r="O500" s="405"/>
      <c r="P500" s="405"/>
      <c r="Q500" s="405"/>
      <c r="R500" s="405"/>
      <c r="S500" s="405"/>
      <c r="T500" s="405"/>
      <c r="U500" s="405"/>
      <c r="V500" s="405"/>
      <c r="W500" s="405"/>
      <c r="X500" s="405"/>
      <c r="Y500" s="405"/>
      <c r="Z500" s="405"/>
      <c r="AA500" s="405"/>
      <c r="AB500" s="405"/>
      <c r="AC500" s="405"/>
      <c r="AD500" s="405"/>
      <c r="AE500" s="405"/>
      <c r="AF500" s="405"/>
      <c r="AG500" s="405"/>
      <c r="AH500" s="405"/>
      <c r="AI500" s="405"/>
      <c r="AJ500" s="405"/>
      <c r="AK500" s="405"/>
      <c r="AL500" s="405"/>
      <c r="AM500" s="405"/>
      <c r="AN500" s="405"/>
      <c r="AO500" s="405"/>
    </row>
    <row r="501" spans="1:42" s="404" customFormat="1" ht="16.2" hidden="1">
      <c r="A501" s="779" t="s">
        <v>212</v>
      </c>
      <c r="B501" s="1214" t="s">
        <v>409</v>
      </c>
      <c r="C501" s="1215" t="s">
        <v>81</v>
      </c>
      <c r="D501" s="394">
        <f>'Pl 2016-20 PFC'!D509</f>
        <v>8883000</v>
      </c>
      <c r="E501" s="950">
        <f>'Pl 2016-20 PFC'!E509</f>
        <v>8883000</v>
      </c>
      <c r="F501" s="950">
        <f>'Pl 2016-20 PFC'!F509</f>
        <v>11146726</v>
      </c>
      <c r="G501" s="950">
        <f>'Pl 2016-20 PFC'!G509</f>
        <v>11147000</v>
      </c>
      <c r="H501" s="950">
        <f t="shared" si="20"/>
        <v>-274</v>
      </c>
      <c r="I501" s="950">
        <f>'Pl 2016-20 PFC'!H509</f>
        <v>0</v>
      </c>
      <c r="J501" s="950">
        <f>'Pl 2016-20 PFC'!I509</f>
        <v>11147000</v>
      </c>
      <c r="K501" s="950" t="e">
        <f>'Pl 2016-20 PFC'!#REF!</f>
        <v>#REF!</v>
      </c>
      <c r="L501" s="845"/>
      <c r="M501" s="401"/>
      <c r="N501" s="402"/>
      <c r="O501" s="402"/>
      <c r="P501" s="402"/>
      <c r="Q501" s="402"/>
      <c r="R501" s="402"/>
      <c r="S501" s="402"/>
      <c r="T501" s="402"/>
      <c r="U501" s="402"/>
      <c r="V501" s="402"/>
      <c r="W501" s="402"/>
      <c r="X501" s="402"/>
      <c r="Y501" s="402"/>
      <c r="Z501" s="402"/>
      <c r="AA501" s="402"/>
      <c r="AB501" s="402"/>
      <c r="AC501" s="402"/>
      <c r="AD501" s="402"/>
      <c r="AE501" s="402"/>
      <c r="AF501" s="402"/>
      <c r="AG501" s="402"/>
      <c r="AH501" s="402"/>
      <c r="AI501" s="402"/>
      <c r="AJ501" s="402"/>
      <c r="AK501" s="402"/>
      <c r="AL501" s="402"/>
      <c r="AM501" s="402"/>
      <c r="AN501" s="403"/>
      <c r="AO501" s="403"/>
    </row>
    <row r="502" spans="1:42" s="404" customFormat="1" ht="16.2" hidden="1">
      <c r="A502" s="779"/>
      <c r="B502" s="1214" t="s">
        <v>478</v>
      </c>
      <c r="C502" s="1215" t="s">
        <v>479</v>
      </c>
      <c r="D502" s="394">
        <f>SUM(D503:D504)</f>
        <v>4837000</v>
      </c>
      <c r="E502" s="950">
        <f>SUM(E503:E504)</f>
        <v>5817000</v>
      </c>
      <c r="F502" s="950">
        <f>SUM(F503:F504)</f>
        <v>5800000</v>
      </c>
      <c r="G502" s="950">
        <f>SUM(G503:G504)</f>
        <v>5819000</v>
      </c>
      <c r="H502" s="950">
        <f t="shared" si="20"/>
        <v>-19000</v>
      </c>
      <c r="I502" s="950">
        <f>SUM(I503:I504)</f>
        <v>0</v>
      </c>
      <c r="J502" s="950">
        <f>SUM(J503:J504)</f>
        <v>5819000</v>
      </c>
      <c r="K502" s="950" t="e">
        <f>SUM(K503:K504)</f>
        <v>#REF!</v>
      </c>
      <c r="L502" s="845"/>
      <c r="M502" s="401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  <c r="AA502" s="402"/>
      <c r="AB502" s="402"/>
      <c r="AC502" s="402"/>
      <c r="AD502" s="402"/>
      <c r="AE502" s="402"/>
      <c r="AF502" s="402"/>
      <c r="AG502" s="402"/>
      <c r="AH502" s="402"/>
      <c r="AI502" s="402"/>
      <c r="AJ502" s="402"/>
      <c r="AK502" s="402"/>
      <c r="AL502" s="402"/>
      <c r="AM502" s="402"/>
      <c r="AN502" s="403"/>
      <c r="AO502" s="403"/>
    </row>
    <row r="503" spans="1:42" s="406" customFormat="1" hidden="1">
      <c r="A503" s="779"/>
      <c r="B503" s="1214" t="s">
        <v>217</v>
      </c>
      <c r="C503" s="1215" t="s">
        <v>218</v>
      </c>
      <c r="D503" s="394">
        <f>'Pl 2016-20 PFC'!D499</f>
        <v>3225000</v>
      </c>
      <c r="E503" s="950">
        <f>'Pl 2016-20 PFC'!E499</f>
        <v>4205000</v>
      </c>
      <c r="F503" s="950">
        <f>'Pl 2016-20 PFC'!F499</f>
        <v>4170000</v>
      </c>
      <c r="G503" s="950">
        <f>'Pl 2016-20 PFC'!G499</f>
        <v>4189000</v>
      </c>
      <c r="H503" s="950">
        <f t="shared" si="20"/>
        <v>-19000</v>
      </c>
      <c r="I503" s="950">
        <f>'Pl 2016-20 PFC'!H499</f>
        <v>0</v>
      </c>
      <c r="J503" s="950">
        <f>'Pl 2016-20 PFC'!I499</f>
        <v>4189000</v>
      </c>
      <c r="K503" s="950" t="e">
        <f>'Pl 2016-20 PFC'!#REF!</f>
        <v>#REF!</v>
      </c>
      <c r="L503" s="845"/>
      <c r="M503" s="401"/>
      <c r="N503" s="401"/>
      <c r="O503" s="408"/>
      <c r="P503" s="408"/>
      <c r="Q503" s="408"/>
      <c r="R503" s="408"/>
      <c r="S503" s="405"/>
      <c r="T503" s="405"/>
      <c r="U503" s="405"/>
      <c r="V503" s="405"/>
      <c r="W503" s="405"/>
      <c r="X503" s="405"/>
      <c r="Y503" s="405"/>
      <c r="Z503" s="405"/>
      <c r="AA503" s="405"/>
      <c r="AB503" s="405"/>
      <c r="AC503" s="405"/>
      <c r="AD503" s="405"/>
      <c r="AE503" s="405"/>
      <c r="AF503" s="405"/>
      <c r="AG503" s="405"/>
      <c r="AH503" s="405"/>
      <c r="AI503" s="405"/>
      <c r="AJ503" s="405"/>
      <c r="AK503" s="405"/>
      <c r="AL503" s="405"/>
      <c r="AM503" s="405"/>
      <c r="AN503" s="405"/>
      <c r="AO503" s="405"/>
    </row>
    <row r="504" spans="1:42" s="406" customFormat="1" hidden="1">
      <c r="A504" s="779"/>
      <c r="B504" s="1214" t="s">
        <v>219</v>
      </c>
      <c r="C504" s="1215" t="s">
        <v>220</v>
      </c>
      <c r="D504" s="394">
        <f>'Pl 2016-20 PFC'!D500</f>
        <v>1612000</v>
      </c>
      <c r="E504" s="950">
        <f>'Pl 2016-20 PFC'!E500</f>
        <v>1612000</v>
      </c>
      <c r="F504" s="950">
        <f>'Pl 2016-20 PFC'!F500</f>
        <v>1630000</v>
      </c>
      <c r="G504" s="950">
        <f>'Pl 2016-20 PFC'!G500</f>
        <v>1630000</v>
      </c>
      <c r="H504" s="950">
        <f t="shared" si="20"/>
        <v>0</v>
      </c>
      <c r="I504" s="950">
        <f>'Pl 2016-20 PFC'!H500</f>
        <v>0</v>
      </c>
      <c r="J504" s="950">
        <f>'Pl 2016-20 PFC'!I500</f>
        <v>1630000</v>
      </c>
      <c r="K504" s="950" t="e">
        <f>'Pl 2016-20 PFC'!#REF!</f>
        <v>#REF!</v>
      </c>
      <c r="L504" s="845"/>
      <c r="M504" s="401"/>
      <c r="N504" s="401"/>
      <c r="O504" s="408"/>
      <c r="P504" s="410"/>
      <c r="Q504" s="408"/>
      <c r="R504" s="410"/>
      <c r="S504" s="405"/>
      <c r="T504" s="405"/>
      <c r="U504" s="405"/>
      <c r="V504" s="405"/>
      <c r="W504" s="405"/>
      <c r="X504" s="405"/>
      <c r="Y504" s="405"/>
      <c r="Z504" s="405"/>
      <c r="AA504" s="405"/>
      <c r="AB504" s="405"/>
      <c r="AC504" s="405"/>
      <c r="AD504" s="405"/>
      <c r="AE504" s="405"/>
      <c r="AF504" s="405"/>
      <c r="AG504" s="405"/>
      <c r="AH504" s="405"/>
      <c r="AI504" s="405"/>
      <c r="AJ504" s="405"/>
      <c r="AK504" s="405"/>
      <c r="AL504" s="405"/>
      <c r="AM504" s="405"/>
      <c r="AN504" s="405"/>
      <c r="AO504" s="405"/>
    </row>
    <row r="505" spans="1:42" s="404" customFormat="1" ht="16.2" hidden="1">
      <c r="A505" s="779"/>
      <c r="B505" s="1214" t="s">
        <v>237</v>
      </c>
      <c r="C505" s="1215" t="s">
        <v>480</v>
      </c>
      <c r="D505" s="394">
        <f>SUM(D506:D522)</f>
        <v>8869000</v>
      </c>
      <c r="E505" s="950">
        <f>SUM(E506:E522)</f>
        <v>8869000</v>
      </c>
      <c r="F505" s="950">
        <f>SUM(F506:F522)</f>
        <v>11133726</v>
      </c>
      <c r="G505" s="950">
        <f>SUM(G506:G522)</f>
        <v>11134000</v>
      </c>
      <c r="H505" s="950">
        <f t="shared" si="20"/>
        <v>-274</v>
      </c>
      <c r="I505" s="950">
        <f>SUM(I506:I522)</f>
        <v>0</v>
      </c>
      <c r="J505" s="950">
        <f>SUM(J506:J522)</f>
        <v>11134000</v>
      </c>
      <c r="K505" s="950" t="e">
        <f>SUM(K506:K522)</f>
        <v>#REF!</v>
      </c>
      <c r="L505" s="845"/>
      <c r="M505" s="401"/>
      <c r="N505" s="402"/>
      <c r="O505" s="402"/>
      <c r="P505" s="402"/>
      <c r="Q505" s="402"/>
      <c r="R505" s="402"/>
      <c r="S505" s="402"/>
      <c r="T505" s="402"/>
      <c r="U505" s="402"/>
      <c r="V505" s="402"/>
      <c r="W505" s="402"/>
      <c r="X505" s="402"/>
      <c r="Y505" s="402"/>
      <c r="Z505" s="402"/>
      <c r="AA505" s="402"/>
      <c r="AB505" s="402"/>
      <c r="AC505" s="402"/>
      <c r="AD505" s="402"/>
      <c r="AE505" s="402"/>
      <c r="AF505" s="402"/>
      <c r="AG505" s="402"/>
      <c r="AH505" s="402"/>
      <c r="AI505" s="402"/>
      <c r="AJ505" s="402"/>
      <c r="AK505" s="402"/>
      <c r="AL505" s="402"/>
      <c r="AM505" s="402"/>
      <c r="AN505" s="403"/>
      <c r="AO505" s="403"/>
    </row>
    <row r="506" spans="1:42" s="414" customFormat="1" hidden="1">
      <c r="A506" s="779"/>
      <c r="B506" s="1214" t="s">
        <v>239</v>
      </c>
      <c r="C506" s="1215" t="s">
        <v>240</v>
      </c>
      <c r="D506" s="394">
        <f>'Pl 2016-20 PFC'!D511</f>
        <v>1707000</v>
      </c>
      <c r="E506" s="950">
        <f>'Pl 2016-20 PFC'!E511</f>
        <v>1707000</v>
      </c>
      <c r="F506" s="950">
        <f>'Pl 2016-20 PFC'!F511</f>
        <v>2040000</v>
      </c>
      <c r="G506" s="950">
        <f>'Pl 2016-20 PFC'!G511</f>
        <v>2040000</v>
      </c>
      <c r="H506" s="950">
        <f t="shared" si="20"/>
        <v>0</v>
      </c>
      <c r="I506" s="950">
        <f>'Pl 2016-20 PFC'!H511</f>
        <v>0</v>
      </c>
      <c r="J506" s="950">
        <f>'Pl 2016-20 PFC'!I511</f>
        <v>2040000</v>
      </c>
      <c r="K506" s="950" t="e">
        <f>'Pl 2016-20 PFC'!#REF!</f>
        <v>#REF!</v>
      </c>
      <c r="L506" s="845"/>
      <c r="M506" s="401"/>
      <c r="N506" s="401"/>
      <c r="O506" s="405"/>
      <c r="P506" s="405"/>
      <c r="Q506" s="405"/>
      <c r="R506" s="405"/>
      <c r="S506" s="405"/>
      <c r="T506" s="405"/>
      <c r="U506" s="405"/>
      <c r="V506" s="405"/>
      <c r="W506" s="405"/>
      <c r="X506" s="405"/>
      <c r="Y506" s="405"/>
      <c r="Z506" s="405"/>
      <c r="AA506" s="405"/>
      <c r="AB506" s="405"/>
      <c r="AC506" s="405"/>
      <c r="AD506" s="405"/>
      <c r="AE506" s="405"/>
      <c r="AF506" s="405"/>
      <c r="AG506" s="405"/>
      <c r="AH506" s="405"/>
      <c r="AI506" s="405"/>
      <c r="AJ506" s="405"/>
      <c r="AK506" s="405"/>
      <c r="AL506" s="405"/>
      <c r="AM506" s="405"/>
      <c r="AN506" s="412"/>
      <c r="AO506" s="412"/>
      <c r="AP506" s="413"/>
    </row>
    <row r="507" spans="1:42" s="406" customFormat="1" ht="16.2" hidden="1" thickBot="1">
      <c r="A507" s="780"/>
      <c r="B507" s="1601" t="s">
        <v>241</v>
      </c>
      <c r="C507" s="1215" t="s">
        <v>242</v>
      </c>
      <c r="D507" s="394">
        <f>'Pl 2016-20 PFC'!D512</f>
        <v>120000</v>
      </c>
      <c r="E507" s="950">
        <f>'Pl 2016-20 PFC'!E512</f>
        <v>120000</v>
      </c>
      <c r="F507" s="950">
        <f>'Pl 2016-20 PFC'!F512</f>
        <v>120000</v>
      </c>
      <c r="G507" s="950">
        <f>'Pl 2016-20 PFC'!G512</f>
        <v>120000</v>
      </c>
      <c r="H507" s="950">
        <f t="shared" si="20"/>
        <v>0</v>
      </c>
      <c r="I507" s="950">
        <f>'Pl 2016-20 PFC'!H512</f>
        <v>0</v>
      </c>
      <c r="J507" s="950">
        <f>'Pl 2016-20 PFC'!I512</f>
        <v>120000</v>
      </c>
      <c r="K507" s="950" t="e">
        <f>'Pl 2016-20 PFC'!#REF!</f>
        <v>#REF!</v>
      </c>
      <c r="L507" s="845"/>
      <c r="M507" s="401"/>
      <c r="N507" s="401"/>
      <c r="O507" s="405"/>
      <c r="P507" s="405"/>
      <c r="Q507" s="405"/>
      <c r="R507" s="405"/>
      <c r="S507" s="405"/>
      <c r="T507" s="405"/>
      <c r="U507" s="405"/>
      <c r="V507" s="405"/>
      <c r="W507" s="405"/>
      <c r="X507" s="405"/>
      <c r="Y507" s="405"/>
      <c r="Z507" s="405"/>
      <c r="AA507" s="405"/>
      <c r="AB507" s="405"/>
      <c r="AC507" s="405"/>
      <c r="AD507" s="405"/>
      <c r="AE507" s="405"/>
      <c r="AF507" s="405"/>
      <c r="AG507" s="405"/>
      <c r="AH507" s="405"/>
      <c r="AI507" s="405"/>
      <c r="AJ507" s="405"/>
      <c r="AK507" s="405"/>
      <c r="AL507" s="405"/>
      <c r="AM507" s="405"/>
      <c r="AN507" s="405"/>
      <c r="AO507" s="405"/>
    </row>
    <row r="508" spans="1:42" s="406" customFormat="1" hidden="1">
      <c r="A508" s="779"/>
      <c r="B508" s="1214" t="s">
        <v>243</v>
      </c>
      <c r="C508" s="1215" t="s">
        <v>244</v>
      </c>
      <c r="D508" s="394">
        <f>'Pl 2016-20 PFC'!D513</f>
        <v>347000</v>
      </c>
      <c r="E508" s="950">
        <f>'Pl 2016-20 PFC'!E513</f>
        <v>347000</v>
      </c>
      <c r="F508" s="950">
        <f>'Pl 2016-20 PFC'!F513</f>
        <v>347000</v>
      </c>
      <c r="G508" s="950">
        <f>'Pl 2016-20 PFC'!G513</f>
        <v>347000</v>
      </c>
      <c r="H508" s="950">
        <f t="shared" si="20"/>
        <v>0</v>
      </c>
      <c r="I508" s="950">
        <f>'Pl 2016-20 PFC'!H513</f>
        <v>0</v>
      </c>
      <c r="J508" s="950">
        <f>'Pl 2016-20 PFC'!I513</f>
        <v>347000</v>
      </c>
      <c r="K508" s="950" t="e">
        <f>'Pl 2016-20 PFC'!#REF!</f>
        <v>#REF!</v>
      </c>
      <c r="L508" s="845"/>
      <c r="M508" s="401"/>
      <c r="N508" s="401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5"/>
      <c r="AA508" s="405"/>
      <c r="AB508" s="405"/>
      <c r="AC508" s="405"/>
      <c r="AD508" s="405"/>
      <c r="AE508" s="405"/>
      <c r="AF508" s="405"/>
      <c r="AG508" s="405"/>
      <c r="AH508" s="405"/>
      <c r="AI508" s="405"/>
      <c r="AJ508" s="405"/>
      <c r="AK508" s="405"/>
      <c r="AL508" s="405"/>
      <c r="AM508" s="405"/>
      <c r="AN508" s="405"/>
      <c r="AO508" s="405"/>
    </row>
    <row r="509" spans="1:42" s="406" customFormat="1" hidden="1">
      <c r="A509" s="779"/>
      <c r="B509" s="1214" t="s">
        <v>245</v>
      </c>
      <c r="C509" s="1215" t="s">
        <v>246</v>
      </c>
      <c r="D509" s="394">
        <f>'Pl 2016-20 PFC'!D514</f>
        <v>1195000</v>
      </c>
      <c r="E509" s="950">
        <f>'Pl 2016-20 PFC'!E514</f>
        <v>1195000</v>
      </c>
      <c r="F509" s="950">
        <f>'Pl 2016-20 PFC'!F514</f>
        <v>1151726</v>
      </c>
      <c r="G509" s="950">
        <f>'Pl 2016-20 PFC'!G514</f>
        <v>1152000</v>
      </c>
      <c r="H509" s="950">
        <f t="shared" si="20"/>
        <v>-274</v>
      </c>
      <c r="I509" s="950">
        <f>'Pl 2016-20 PFC'!H514</f>
        <v>0</v>
      </c>
      <c r="J509" s="950">
        <f>'Pl 2016-20 PFC'!I514</f>
        <v>1152000</v>
      </c>
      <c r="K509" s="950" t="e">
        <f>'Pl 2016-20 PFC'!#REF!</f>
        <v>#REF!</v>
      </c>
      <c r="L509" s="845"/>
      <c r="M509" s="401"/>
      <c r="N509" s="401"/>
      <c r="O509" s="405"/>
      <c r="P509" s="405"/>
      <c r="Q509" s="405"/>
      <c r="R509" s="405"/>
      <c r="S509" s="405"/>
      <c r="T509" s="405"/>
      <c r="U509" s="405"/>
      <c r="V509" s="405"/>
      <c r="W509" s="405"/>
      <c r="X509" s="405"/>
      <c r="Y509" s="405"/>
      <c r="Z509" s="405"/>
      <c r="AA509" s="405"/>
      <c r="AB509" s="405"/>
      <c r="AC509" s="405"/>
      <c r="AD509" s="405"/>
      <c r="AE509" s="405"/>
      <c r="AF509" s="405"/>
      <c r="AG509" s="405"/>
      <c r="AH509" s="405"/>
      <c r="AI509" s="405"/>
      <c r="AJ509" s="405"/>
      <c r="AK509" s="405"/>
      <c r="AL509" s="405"/>
      <c r="AM509" s="405"/>
      <c r="AN509" s="405"/>
      <c r="AO509" s="405"/>
    </row>
    <row r="510" spans="1:42" s="406" customFormat="1" hidden="1">
      <c r="A510" s="779"/>
      <c r="B510" s="1214" t="s">
        <v>247</v>
      </c>
      <c r="C510" s="1215" t="s">
        <v>248</v>
      </c>
      <c r="D510" s="394">
        <f>'Pl 2016-20 PFC'!D515</f>
        <v>59000</v>
      </c>
      <c r="E510" s="950">
        <f>'Pl 2016-20 PFC'!E515</f>
        <v>59000</v>
      </c>
      <c r="F510" s="950">
        <f>'Pl 2016-20 PFC'!F515</f>
        <v>60000</v>
      </c>
      <c r="G510" s="950">
        <f>'Pl 2016-20 PFC'!G515</f>
        <v>60000</v>
      </c>
      <c r="H510" s="950">
        <f t="shared" si="20"/>
        <v>0</v>
      </c>
      <c r="I510" s="950">
        <f>'Pl 2016-20 PFC'!H515</f>
        <v>0</v>
      </c>
      <c r="J510" s="950">
        <f>'Pl 2016-20 PFC'!I515</f>
        <v>60000</v>
      </c>
      <c r="K510" s="950" t="e">
        <f>'Pl 2016-20 PFC'!#REF!</f>
        <v>#REF!</v>
      </c>
      <c r="L510" s="845"/>
      <c r="M510" s="401"/>
      <c r="N510" s="401"/>
      <c r="O510" s="405"/>
      <c r="P510" s="405"/>
      <c r="Q510" s="405"/>
      <c r="R510" s="405"/>
      <c r="S510" s="405"/>
      <c r="T510" s="405"/>
      <c r="U510" s="405"/>
      <c r="V510" s="405"/>
      <c r="W510" s="405"/>
      <c r="X510" s="405"/>
      <c r="Y510" s="405"/>
      <c r="Z510" s="405"/>
      <c r="AA510" s="405"/>
      <c r="AB510" s="405"/>
      <c r="AC510" s="405"/>
      <c r="AD510" s="405"/>
      <c r="AE510" s="405"/>
      <c r="AF510" s="405"/>
      <c r="AG510" s="405"/>
      <c r="AH510" s="405"/>
      <c r="AI510" s="405"/>
      <c r="AJ510" s="405"/>
      <c r="AK510" s="405"/>
      <c r="AL510" s="405"/>
      <c r="AM510" s="405"/>
      <c r="AN510" s="405"/>
      <c r="AO510" s="405"/>
    </row>
    <row r="511" spans="1:42" s="406" customFormat="1" hidden="1">
      <c r="A511" s="779"/>
      <c r="B511" s="1214" t="s">
        <v>249</v>
      </c>
      <c r="C511" s="1215" t="s">
        <v>250</v>
      </c>
      <c r="D511" s="394">
        <f>'Pl 2016-20 PFC'!D516</f>
        <v>0</v>
      </c>
      <c r="E511" s="950">
        <f>'Pl 2016-20 PFC'!E516</f>
        <v>0</v>
      </c>
      <c r="F511" s="950">
        <f>'Pl 2016-20 PFC'!F516</f>
        <v>0</v>
      </c>
      <c r="G511" s="950">
        <f>'Pl 2016-20 PFC'!G516</f>
        <v>0</v>
      </c>
      <c r="H511" s="950">
        <f t="shared" si="20"/>
        <v>0</v>
      </c>
      <c r="I511" s="950">
        <f>'Pl 2016-20 PFC'!H516</f>
        <v>0</v>
      </c>
      <c r="J511" s="950">
        <f>'Pl 2016-20 PFC'!I516</f>
        <v>0</v>
      </c>
      <c r="K511" s="950" t="e">
        <f>'Pl 2016-20 PFC'!#REF!</f>
        <v>#REF!</v>
      </c>
      <c r="L511" s="845"/>
      <c r="M511" s="401"/>
      <c r="N511" s="401"/>
      <c r="O511" s="405"/>
      <c r="P511" s="405"/>
      <c r="Q511" s="405"/>
      <c r="R511" s="405"/>
      <c r="S511" s="405"/>
      <c r="T511" s="405"/>
      <c r="U511" s="405"/>
      <c r="V511" s="405"/>
      <c r="W511" s="405"/>
      <c r="X511" s="405"/>
      <c r="Y511" s="405"/>
      <c r="Z511" s="405"/>
      <c r="AA511" s="405"/>
      <c r="AB511" s="405"/>
      <c r="AC511" s="405"/>
      <c r="AD511" s="405"/>
      <c r="AE511" s="405"/>
      <c r="AF511" s="405"/>
      <c r="AG511" s="405"/>
      <c r="AH511" s="405"/>
      <c r="AI511" s="405"/>
      <c r="AJ511" s="405"/>
      <c r="AK511" s="405"/>
      <c r="AL511" s="405"/>
      <c r="AM511" s="405"/>
      <c r="AN511" s="405"/>
      <c r="AO511" s="405"/>
    </row>
    <row r="512" spans="1:42" s="406" customFormat="1" hidden="1">
      <c r="A512" s="779"/>
      <c r="B512" s="1214" t="s">
        <v>251</v>
      </c>
      <c r="C512" s="1215" t="s">
        <v>252</v>
      </c>
      <c r="D512" s="394">
        <f>'Pl 2016-20 PFC'!D517</f>
        <v>3000</v>
      </c>
      <c r="E512" s="950">
        <f>'Pl 2016-20 PFC'!E517</f>
        <v>3000</v>
      </c>
      <c r="F512" s="950">
        <f>'Pl 2016-20 PFC'!F517</f>
        <v>3000</v>
      </c>
      <c r="G512" s="950">
        <f>'Pl 2016-20 PFC'!G517</f>
        <v>3000</v>
      </c>
      <c r="H512" s="950">
        <f t="shared" si="20"/>
        <v>0</v>
      </c>
      <c r="I512" s="950">
        <f>'Pl 2016-20 PFC'!H517</f>
        <v>0</v>
      </c>
      <c r="J512" s="950">
        <f>'Pl 2016-20 PFC'!I517</f>
        <v>3000</v>
      </c>
      <c r="K512" s="950" t="e">
        <f>'Pl 2016-20 PFC'!#REF!</f>
        <v>#REF!</v>
      </c>
      <c r="L512" s="845"/>
      <c r="M512" s="401"/>
      <c r="N512" s="401"/>
      <c r="O512" s="405"/>
      <c r="P512" s="405"/>
      <c r="Q512" s="405"/>
      <c r="R512" s="405"/>
      <c r="S512" s="405"/>
      <c r="T512" s="405"/>
      <c r="U512" s="405"/>
      <c r="V512" s="405"/>
      <c r="W512" s="405"/>
      <c r="X512" s="405"/>
      <c r="Y512" s="405"/>
      <c r="Z512" s="405"/>
      <c r="AA512" s="405"/>
      <c r="AB512" s="405"/>
      <c r="AC512" s="405"/>
      <c r="AD512" s="405"/>
      <c r="AE512" s="405"/>
      <c r="AF512" s="405"/>
      <c r="AG512" s="405"/>
      <c r="AH512" s="405"/>
      <c r="AI512" s="405"/>
      <c r="AJ512" s="405"/>
      <c r="AK512" s="405"/>
      <c r="AL512" s="405"/>
      <c r="AM512" s="405"/>
      <c r="AN512" s="405"/>
      <c r="AO512" s="405"/>
    </row>
    <row r="513" spans="1:41" s="406" customFormat="1" hidden="1">
      <c r="A513" s="779"/>
      <c r="B513" s="1214" t="s">
        <v>253</v>
      </c>
      <c r="C513" s="1215" t="s">
        <v>254</v>
      </c>
      <c r="D513" s="394">
        <f>'Pl 2016-20 PFC'!D518</f>
        <v>44000</v>
      </c>
      <c r="E513" s="950">
        <f>'Pl 2016-20 PFC'!E518</f>
        <v>44000</v>
      </c>
      <c r="F513" s="950">
        <f>'Pl 2016-20 PFC'!F518</f>
        <v>45000</v>
      </c>
      <c r="G513" s="950">
        <f>'Pl 2016-20 PFC'!G518</f>
        <v>45000</v>
      </c>
      <c r="H513" s="950">
        <f t="shared" si="20"/>
        <v>0</v>
      </c>
      <c r="I513" s="950">
        <f>'Pl 2016-20 PFC'!H518</f>
        <v>0</v>
      </c>
      <c r="J513" s="950">
        <f>'Pl 2016-20 PFC'!I518</f>
        <v>45000</v>
      </c>
      <c r="K513" s="950" t="e">
        <f>'Pl 2016-20 PFC'!#REF!</f>
        <v>#REF!</v>
      </c>
      <c r="L513" s="845"/>
      <c r="M513" s="401"/>
      <c r="N513" s="401"/>
      <c r="O513" s="405"/>
      <c r="P513" s="405"/>
      <c r="Q513" s="405"/>
      <c r="R513" s="405"/>
      <c r="S513" s="405"/>
      <c r="T513" s="405"/>
      <c r="U513" s="405"/>
      <c r="V513" s="405"/>
      <c r="W513" s="405"/>
      <c r="X513" s="405"/>
      <c r="Y513" s="405"/>
      <c r="Z513" s="405"/>
      <c r="AA513" s="405"/>
      <c r="AB513" s="405"/>
      <c r="AC513" s="405"/>
      <c r="AD513" s="405"/>
      <c r="AE513" s="405"/>
      <c r="AF513" s="405"/>
      <c r="AG513" s="405"/>
      <c r="AH513" s="405"/>
      <c r="AI513" s="405"/>
      <c r="AJ513" s="405"/>
      <c r="AK513" s="405"/>
      <c r="AL513" s="405"/>
      <c r="AM513" s="405"/>
      <c r="AN513" s="405"/>
      <c r="AO513" s="405"/>
    </row>
    <row r="514" spans="1:41" s="406" customFormat="1" hidden="1">
      <c r="A514" s="779"/>
      <c r="B514" s="1246" t="s">
        <v>633</v>
      </c>
      <c r="C514" s="1215" t="s">
        <v>634</v>
      </c>
      <c r="D514" s="394">
        <f>'Pl 2016-20 PFC'!D520</f>
        <v>1000</v>
      </c>
      <c r="E514" s="950">
        <f>'Pl 2016-20 PFC'!E520</f>
        <v>1000</v>
      </c>
      <c r="F514" s="950">
        <f>'Pl 2016-20 PFC'!F520</f>
        <v>0</v>
      </c>
      <c r="G514" s="950">
        <f>'Pl 2016-20 PFC'!G520</f>
        <v>0</v>
      </c>
      <c r="H514" s="950">
        <f t="shared" si="20"/>
        <v>0</v>
      </c>
      <c r="I514" s="950">
        <f>'Pl 2016-20 PFC'!H520</f>
        <v>0</v>
      </c>
      <c r="J514" s="950">
        <f>'Pl 2016-20 PFC'!I520</f>
        <v>0</v>
      </c>
      <c r="K514" s="950" t="e">
        <f>'Pl 2016-20 PFC'!#REF!</f>
        <v>#REF!</v>
      </c>
      <c r="L514" s="845"/>
      <c r="M514" s="401"/>
      <c r="N514" s="401"/>
      <c r="O514" s="405"/>
      <c r="P514" s="405"/>
      <c r="Q514" s="405"/>
      <c r="R514" s="405"/>
      <c r="S514" s="405"/>
      <c r="T514" s="405"/>
      <c r="U514" s="405"/>
      <c r="V514" s="405"/>
      <c r="W514" s="405"/>
      <c r="X514" s="405"/>
      <c r="Y514" s="405"/>
      <c r="Z514" s="405"/>
      <c r="AA514" s="405"/>
      <c r="AB514" s="405"/>
      <c r="AC514" s="405"/>
      <c r="AD514" s="405"/>
      <c r="AE514" s="405"/>
      <c r="AF514" s="405"/>
      <c r="AG514" s="405"/>
      <c r="AH514" s="405"/>
      <c r="AI514" s="405"/>
      <c r="AJ514" s="405"/>
      <c r="AK514" s="405"/>
      <c r="AL514" s="405"/>
      <c r="AM514" s="405"/>
      <c r="AN514" s="405"/>
      <c r="AO514" s="405"/>
    </row>
    <row r="515" spans="1:41" s="406" customFormat="1" hidden="1">
      <c r="A515" s="779"/>
      <c r="B515" s="1214" t="s">
        <v>255</v>
      </c>
      <c r="C515" s="1215" t="s">
        <v>256</v>
      </c>
      <c r="D515" s="394">
        <f>'Pl 2016-20 PFC'!D520</f>
        <v>1000</v>
      </c>
      <c r="E515" s="950">
        <f>'Pl 2016-20 PFC'!E520</f>
        <v>1000</v>
      </c>
      <c r="F515" s="950">
        <f>'Pl 2016-20 PFC'!F520</f>
        <v>0</v>
      </c>
      <c r="G515" s="950">
        <f>'Pl 2016-20 PFC'!G520</f>
        <v>0</v>
      </c>
      <c r="H515" s="950">
        <f t="shared" si="20"/>
        <v>0</v>
      </c>
      <c r="I515" s="950">
        <f>'Pl 2016-20 PFC'!H520</f>
        <v>0</v>
      </c>
      <c r="J515" s="950">
        <f>'Pl 2016-20 PFC'!I520</f>
        <v>0</v>
      </c>
      <c r="K515" s="950" t="e">
        <f>'Pl 2016-20 PFC'!#REF!</f>
        <v>#REF!</v>
      </c>
      <c r="L515" s="845"/>
      <c r="M515" s="401"/>
      <c r="N515" s="401"/>
      <c r="O515" s="405"/>
      <c r="P515" s="405"/>
      <c r="Q515" s="405"/>
      <c r="R515" s="405"/>
      <c r="S515" s="405"/>
      <c r="T515" s="405"/>
      <c r="U515" s="405"/>
      <c r="V515" s="405"/>
      <c r="W515" s="405"/>
      <c r="X515" s="405"/>
      <c r="Y515" s="405"/>
      <c r="Z515" s="405"/>
      <c r="AA515" s="405"/>
      <c r="AB515" s="405"/>
      <c r="AC515" s="405"/>
      <c r="AD515" s="405"/>
      <c r="AE515" s="405"/>
      <c r="AF515" s="405"/>
      <c r="AG515" s="405"/>
      <c r="AH515" s="405"/>
      <c r="AI515" s="405"/>
      <c r="AJ515" s="405"/>
      <c r="AK515" s="405"/>
      <c r="AL515" s="405"/>
      <c r="AM515" s="405"/>
      <c r="AN515" s="405"/>
      <c r="AO515" s="405"/>
    </row>
    <row r="516" spans="1:41" s="406" customFormat="1" hidden="1">
      <c r="A516" s="779"/>
      <c r="B516" s="1214" t="s">
        <v>126</v>
      </c>
      <c r="C516" s="1215" t="s">
        <v>257</v>
      </c>
      <c r="D516" s="394">
        <f>'Pl 2016-20 PFC'!D521</f>
        <v>542000</v>
      </c>
      <c r="E516" s="950">
        <f>'Pl 2016-20 PFC'!E521</f>
        <v>554000</v>
      </c>
      <c r="F516" s="950">
        <f>'Pl 2016-20 PFC'!F521</f>
        <v>518000</v>
      </c>
      <c r="G516" s="950">
        <f>'Pl 2016-20 PFC'!G521</f>
        <v>518000</v>
      </c>
      <c r="H516" s="950">
        <f t="shared" si="20"/>
        <v>0</v>
      </c>
      <c r="I516" s="950">
        <f>'Pl 2016-20 PFC'!H521</f>
        <v>0</v>
      </c>
      <c r="J516" s="950">
        <f>'Pl 2016-20 PFC'!I521</f>
        <v>518000</v>
      </c>
      <c r="K516" s="950" t="e">
        <f>'Pl 2016-20 PFC'!#REF!</f>
        <v>#REF!</v>
      </c>
      <c r="L516" s="845"/>
      <c r="M516" s="401"/>
      <c r="N516" s="401"/>
      <c r="O516" s="405"/>
      <c r="P516" s="405"/>
      <c r="Q516" s="405"/>
      <c r="R516" s="405"/>
      <c r="S516" s="405"/>
      <c r="T516" s="405"/>
      <c r="U516" s="405"/>
      <c r="V516" s="405"/>
      <c r="W516" s="405"/>
      <c r="X516" s="405"/>
      <c r="Y516" s="405"/>
      <c r="Z516" s="405"/>
      <c r="AA516" s="405"/>
      <c r="AB516" s="405"/>
      <c r="AC516" s="405"/>
      <c r="AD516" s="405"/>
      <c r="AE516" s="405"/>
      <c r="AF516" s="405"/>
      <c r="AG516" s="405"/>
      <c r="AH516" s="405"/>
      <c r="AI516" s="405"/>
      <c r="AJ516" s="405"/>
      <c r="AK516" s="405"/>
      <c r="AL516" s="405"/>
      <c r="AM516" s="405"/>
      <c r="AN516" s="405"/>
      <c r="AO516" s="405"/>
    </row>
    <row r="517" spans="1:41" s="406" customFormat="1" hidden="1">
      <c r="A517" s="779"/>
      <c r="B517" s="1214" t="s">
        <v>258</v>
      </c>
      <c r="C517" s="1215" t="s">
        <v>259</v>
      </c>
      <c r="D517" s="394">
        <f>'Pl 2016-20 PFC'!D522</f>
        <v>0</v>
      </c>
      <c r="E517" s="950">
        <f>'Pl 2016-20 PFC'!E522</f>
        <v>0</v>
      </c>
      <c r="F517" s="950">
        <f>'Pl 2016-20 PFC'!F522</f>
        <v>0</v>
      </c>
      <c r="G517" s="950">
        <f>'Pl 2016-20 PFC'!G522</f>
        <v>0</v>
      </c>
      <c r="H517" s="950">
        <f t="shared" si="20"/>
        <v>0</v>
      </c>
      <c r="I517" s="950">
        <f>'Pl 2016-20 PFC'!H522</f>
        <v>0</v>
      </c>
      <c r="J517" s="950">
        <f>'Pl 2016-20 PFC'!I522</f>
        <v>0</v>
      </c>
      <c r="K517" s="950" t="e">
        <f>'Pl 2016-20 PFC'!#REF!</f>
        <v>#REF!</v>
      </c>
      <c r="L517" s="845"/>
      <c r="M517" s="401"/>
      <c r="N517" s="401"/>
      <c r="O517" s="405"/>
      <c r="P517" s="405"/>
      <c r="Q517" s="405"/>
      <c r="R517" s="405"/>
      <c r="S517" s="405"/>
      <c r="T517" s="405"/>
      <c r="U517" s="405"/>
      <c r="V517" s="405"/>
      <c r="W517" s="405"/>
      <c r="X517" s="405"/>
      <c r="Y517" s="405"/>
      <c r="Z517" s="405"/>
      <c r="AA517" s="405"/>
      <c r="AB517" s="405"/>
      <c r="AC517" s="405"/>
      <c r="AD517" s="405"/>
      <c r="AE517" s="405"/>
      <c r="AF517" s="405"/>
      <c r="AG517" s="405"/>
      <c r="AH517" s="405"/>
      <c r="AI517" s="405"/>
      <c r="AJ517" s="405"/>
      <c r="AK517" s="405"/>
      <c r="AL517" s="405"/>
      <c r="AM517" s="405"/>
      <c r="AN517" s="405"/>
      <c r="AO517" s="405"/>
    </row>
    <row r="518" spans="1:41" s="406" customFormat="1" hidden="1">
      <c r="A518" s="779"/>
      <c r="B518" s="1214" t="s">
        <v>260</v>
      </c>
      <c r="C518" s="1215" t="s">
        <v>261</v>
      </c>
      <c r="D518" s="394">
        <f>'Pl 2016-20 PFC'!D523</f>
        <v>37000</v>
      </c>
      <c r="E518" s="950">
        <f>'Pl 2016-20 PFC'!E523</f>
        <v>37000</v>
      </c>
      <c r="F518" s="950">
        <f>'Pl 2016-20 PFC'!F523</f>
        <v>0</v>
      </c>
      <c r="G518" s="950">
        <f>'Pl 2016-20 PFC'!G523</f>
        <v>152000</v>
      </c>
      <c r="H518" s="950">
        <f t="shared" si="20"/>
        <v>-152000</v>
      </c>
      <c r="I518" s="950">
        <f>'Pl 2016-20 PFC'!H523</f>
        <v>0</v>
      </c>
      <c r="J518" s="950">
        <f>'Pl 2016-20 PFC'!I523</f>
        <v>152000</v>
      </c>
      <c r="K518" s="950" t="e">
        <f>'Pl 2016-20 PFC'!#REF!</f>
        <v>#REF!</v>
      </c>
      <c r="L518" s="845"/>
      <c r="M518" s="401"/>
      <c r="N518" s="401"/>
      <c r="O518" s="405"/>
      <c r="P518" s="405"/>
      <c r="Q518" s="405"/>
      <c r="R518" s="405"/>
      <c r="S518" s="405"/>
      <c r="T518" s="405"/>
      <c r="U518" s="405"/>
      <c r="V518" s="405"/>
      <c r="W518" s="405"/>
      <c r="X518" s="405"/>
      <c r="Y518" s="405"/>
      <c r="Z518" s="405"/>
      <c r="AA518" s="405"/>
      <c r="AB518" s="405"/>
      <c r="AC518" s="405"/>
      <c r="AD518" s="405"/>
      <c r="AE518" s="405"/>
      <c r="AF518" s="405"/>
      <c r="AG518" s="405"/>
      <c r="AH518" s="405"/>
      <c r="AI518" s="405"/>
      <c r="AJ518" s="405"/>
      <c r="AK518" s="405"/>
      <c r="AL518" s="405"/>
      <c r="AM518" s="405"/>
      <c r="AN518" s="405"/>
      <c r="AO518" s="405"/>
    </row>
    <row r="519" spans="1:41" s="406" customFormat="1" hidden="1">
      <c r="A519" s="779"/>
      <c r="B519" s="1214" t="s">
        <v>262</v>
      </c>
      <c r="C519" s="1215" t="s">
        <v>263</v>
      </c>
      <c r="D519" s="394">
        <f>'Pl 2016-20 PFC'!D524</f>
        <v>3506000</v>
      </c>
      <c r="E519" s="950">
        <f>'Pl 2016-20 PFC'!E524</f>
        <v>3494000</v>
      </c>
      <c r="F519" s="950">
        <f>'Pl 2016-20 PFC'!F524</f>
        <v>4945000</v>
      </c>
      <c r="G519" s="950">
        <f>'Pl 2016-20 PFC'!G524</f>
        <v>4793000</v>
      </c>
      <c r="H519" s="950">
        <f t="shared" si="20"/>
        <v>152000</v>
      </c>
      <c r="I519" s="950">
        <f>'Pl 2016-20 PFC'!H524</f>
        <v>0</v>
      </c>
      <c r="J519" s="950">
        <f>'Pl 2016-20 PFC'!I524</f>
        <v>4793000</v>
      </c>
      <c r="K519" s="950" t="e">
        <f>'Pl 2016-20 PFC'!#REF!</f>
        <v>#REF!</v>
      </c>
      <c r="L519" s="845"/>
      <c r="M519" s="401"/>
      <c r="N519" s="401"/>
      <c r="O519" s="405"/>
      <c r="P519" s="405"/>
      <c r="Q519" s="405"/>
      <c r="R519" s="405"/>
      <c r="S519" s="405"/>
      <c r="T519" s="405"/>
      <c r="U519" s="405"/>
      <c r="V519" s="405"/>
      <c r="W519" s="405"/>
      <c r="X519" s="405"/>
      <c r="Y519" s="405"/>
      <c r="Z519" s="405"/>
      <c r="AA519" s="405"/>
      <c r="AB519" s="405"/>
      <c r="AC519" s="405"/>
      <c r="AD519" s="405"/>
      <c r="AE519" s="405"/>
      <c r="AF519" s="405"/>
      <c r="AG519" s="405"/>
      <c r="AH519" s="405"/>
      <c r="AI519" s="405"/>
      <c r="AJ519" s="405"/>
      <c r="AK519" s="405"/>
      <c r="AL519" s="405"/>
      <c r="AM519" s="405"/>
      <c r="AN519" s="405"/>
      <c r="AO519" s="405"/>
    </row>
    <row r="520" spans="1:41" s="406" customFormat="1" hidden="1">
      <c r="A520" s="779"/>
      <c r="B520" s="1246" t="str">
        <f>'Pl 2016-20 PFC'!B269</f>
        <v>- szkolenia</v>
      </c>
      <c r="C520" s="1215" t="s">
        <v>668</v>
      </c>
      <c r="D520" s="394">
        <f>'Pl 2016-20 PFC'!D525</f>
        <v>1305000</v>
      </c>
      <c r="E520" s="950">
        <f>'Pl 2016-20 PFC'!E525</f>
        <v>1305000</v>
      </c>
      <c r="F520" s="950">
        <f>'Pl 2016-20 PFC'!F525</f>
        <v>1903000</v>
      </c>
      <c r="G520" s="950">
        <f>'Pl 2016-20 PFC'!G525</f>
        <v>1903000</v>
      </c>
      <c r="H520" s="950">
        <f t="shared" si="20"/>
        <v>0</v>
      </c>
      <c r="I520" s="950">
        <f>'Pl 2016-20 PFC'!H525</f>
        <v>0</v>
      </c>
      <c r="J520" s="950">
        <f>'Pl 2016-20 PFC'!I525</f>
        <v>1903000</v>
      </c>
      <c r="K520" s="950" t="e">
        <f>'Pl 2016-20 PFC'!#REF!</f>
        <v>#REF!</v>
      </c>
      <c r="L520" s="845"/>
      <c r="M520" s="401"/>
      <c r="N520" s="401"/>
      <c r="O520" s="405"/>
      <c r="P520" s="405"/>
      <c r="Q520" s="405"/>
      <c r="R520" s="405"/>
      <c r="S520" s="405"/>
      <c r="T520" s="405"/>
      <c r="U520" s="405"/>
      <c r="V520" s="405"/>
      <c r="W520" s="405"/>
      <c r="X520" s="405"/>
      <c r="Y520" s="405"/>
      <c r="Z520" s="405"/>
      <c r="AA520" s="405"/>
      <c r="AB520" s="405"/>
      <c r="AC520" s="405"/>
      <c r="AD520" s="405"/>
      <c r="AE520" s="405"/>
      <c r="AF520" s="405"/>
      <c r="AG520" s="405"/>
      <c r="AH520" s="405"/>
      <c r="AI520" s="405"/>
      <c r="AJ520" s="405"/>
      <c r="AK520" s="405"/>
      <c r="AL520" s="405"/>
      <c r="AM520" s="405"/>
      <c r="AN520" s="405"/>
      <c r="AO520" s="405"/>
    </row>
    <row r="521" spans="1:41" s="406" customFormat="1" hidden="1">
      <c r="A521" s="779"/>
      <c r="B521" s="1602" t="s">
        <v>671</v>
      </c>
      <c r="C521" s="1215" t="s">
        <v>670</v>
      </c>
      <c r="D521" s="394">
        <f>'Pl 2016-20 PFC'!D526</f>
        <v>2000</v>
      </c>
      <c r="E521" s="950">
        <f>'Pl 2016-20 PFC'!E526</f>
        <v>2000</v>
      </c>
      <c r="F521" s="950">
        <f>'Pl 2016-20 PFC'!F526</f>
        <v>1000</v>
      </c>
      <c r="G521" s="950">
        <f>'Pl 2016-20 PFC'!G526</f>
        <v>1000</v>
      </c>
      <c r="H521" s="950">
        <f t="shared" si="20"/>
        <v>0</v>
      </c>
      <c r="I521" s="950">
        <f>'Pl 2016-20 PFC'!H526</f>
        <v>0</v>
      </c>
      <c r="J521" s="950">
        <f>'Pl 2016-20 PFC'!I526</f>
        <v>1000</v>
      </c>
      <c r="K521" s="950" t="e">
        <f>'Pl 2016-20 PFC'!#REF!</f>
        <v>#REF!</v>
      </c>
      <c r="L521" s="845"/>
      <c r="M521" s="401"/>
      <c r="N521" s="401"/>
      <c r="O521" s="405"/>
      <c r="P521" s="405"/>
      <c r="Q521" s="405"/>
      <c r="R521" s="405"/>
      <c r="S521" s="405"/>
      <c r="T521" s="405"/>
      <c r="U521" s="405"/>
      <c r="V521" s="405"/>
      <c r="W521" s="405"/>
      <c r="X521" s="405"/>
      <c r="Y521" s="405"/>
      <c r="Z521" s="405"/>
      <c r="AA521" s="405"/>
      <c r="AB521" s="405"/>
      <c r="AC521" s="405"/>
      <c r="AD521" s="405"/>
      <c r="AE521" s="405"/>
      <c r="AF521" s="405"/>
      <c r="AG521" s="405"/>
      <c r="AH521" s="405"/>
      <c r="AI521" s="405"/>
      <c r="AJ521" s="405"/>
      <c r="AK521" s="405"/>
      <c r="AL521" s="405"/>
      <c r="AM521" s="405"/>
      <c r="AN521" s="405"/>
      <c r="AO521" s="405"/>
    </row>
    <row r="522" spans="1:41" s="406" customFormat="1" hidden="1">
      <c r="A522" s="779"/>
      <c r="B522" s="1214" t="s">
        <v>65</v>
      </c>
      <c r="C522" s="1215" t="s">
        <v>264</v>
      </c>
      <c r="D522" s="394">
        <f>'Pl 2016-20 PFC'!D527</f>
        <v>0</v>
      </c>
      <c r="E522" s="950">
        <f>'Pl 2016-20 PFC'!E527</f>
        <v>0</v>
      </c>
      <c r="F522" s="950">
        <f>'Pl 2016-20 PFC'!F527</f>
        <v>0</v>
      </c>
      <c r="G522" s="950">
        <f>'Pl 2016-20 PFC'!G527</f>
        <v>0</v>
      </c>
      <c r="H522" s="950">
        <f t="shared" si="20"/>
        <v>0</v>
      </c>
      <c r="I522" s="950">
        <f>'Pl 2016-20 PFC'!H527</f>
        <v>0</v>
      </c>
      <c r="J522" s="950">
        <f>'Pl 2016-20 PFC'!I527</f>
        <v>0</v>
      </c>
      <c r="K522" s="950" t="e">
        <f>'Pl 2016-20 PFC'!#REF!</f>
        <v>#REF!</v>
      </c>
      <c r="L522" s="846"/>
      <c r="M522" s="401"/>
      <c r="N522" s="401"/>
      <c r="O522" s="401"/>
      <c r="P522" s="405"/>
      <c r="Q522" s="405"/>
      <c r="R522" s="405"/>
      <c r="S522" s="405"/>
      <c r="T522" s="405"/>
      <c r="U522" s="405"/>
      <c r="V522" s="405"/>
      <c r="W522" s="405"/>
      <c r="X522" s="405"/>
      <c r="Y522" s="405"/>
      <c r="Z522" s="405"/>
      <c r="AA522" s="405"/>
      <c r="AB522" s="405"/>
      <c r="AC522" s="405"/>
      <c r="AD522" s="405"/>
      <c r="AE522" s="405"/>
      <c r="AF522" s="405"/>
      <c r="AG522" s="405"/>
      <c r="AH522" s="405"/>
      <c r="AI522" s="405"/>
      <c r="AJ522" s="405"/>
      <c r="AK522" s="405"/>
      <c r="AL522" s="405"/>
      <c r="AM522" s="405"/>
      <c r="AN522" s="405"/>
      <c r="AO522" s="405"/>
    </row>
    <row r="523" spans="1:41" s="415" customFormat="1" hidden="1">
      <c r="A523" s="779" t="s">
        <v>265</v>
      </c>
      <c r="B523" s="1214" t="s">
        <v>266</v>
      </c>
      <c r="C523" s="1215" t="s">
        <v>267</v>
      </c>
      <c r="D523" s="394">
        <f>'Pl 2016-20 PFC'!D528</f>
        <v>0</v>
      </c>
      <c r="E523" s="950">
        <f>'Pl 2016-20 PFC'!E528</f>
        <v>0</v>
      </c>
      <c r="F523" s="950">
        <f>'Pl 2016-20 PFC'!F528</f>
        <v>0</v>
      </c>
      <c r="G523" s="950">
        <f>'Pl 2016-20 PFC'!G528</f>
        <v>0</v>
      </c>
      <c r="H523" s="950">
        <f t="shared" si="20"/>
        <v>0</v>
      </c>
      <c r="I523" s="950">
        <f>'Pl 2016-20 PFC'!H528</f>
        <v>0</v>
      </c>
      <c r="J523" s="950">
        <f>'Pl 2016-20 PFC'!I528</f>
        <v>0</v>
      </c>
      <c r="K523" s="950" t="e">
        <f>'Pl 2016-20 PFC'!#REF!</f>
        <v>#REF!</v>
      </c>
      <c r="L523" s="847"/>
      <c r="M523" s="401"/>
      <c r="N523" s="407"/>
      <c r="O523" s="405"/>
      <c r="P523" s="405"/>
      <c r="Q523" s="405"/>
      <c r="R523" s="405"/>
      <c r="S523" s="407"/>
      <c r="T523" s="407"/>
      <c r="U523" s="407"/>
      <c r="V523" s="407"/>
      <c r="W523" s="407"/>
      <c r="X523" s="407"/>
      <c r="Y523" s="407"/>
      <c r="Z523" s="407"/>
      <c r="AA523" s="407"/>
      <c r="AB523" s="407"/>
      <c r="AC523" s="407"/>
      <c r="AD523" s="407"/>
      <c r="AE523" s="407"/>
      <c r="AF523" s="407"/>
      <c r="AG523" s="407"/>
      <c r="AH523" s="407"/>
      <c r="AI523" s="407"/>
      <c r="AJ523" s="407"/>
      <c r="AK523" s="407"/>
      <c r="AL523" s="407"/>
      <c r="AM523" s="407"/>
      <c r="AN523" s="407"/>
      <c r="AO523" s="407"/>
    </row>
    <row r="524" spans="1:41" s="415" customFormat="1" hidden="1">
      <c r="A524" s="779" t="s">
        <v>214</v>
      </c>
      <c r="B524" s="1214" t="s">
        <v>481</v>
      </c>
      <c r="C524" s="1215" t="s">
        <v>238</v>
      </c>
      <c r="D524" s="394">
        <f>'Pl 2016-20 PFC'!D510</f>
        <v>8883000</v>
      </c>
      <c r="E524" s="950">
        <f>'Pl 2016-20 PFC'!E510</f>
        <v>8883000</v>
      </c>
      <c r="F524" s="950">
        <f>'Pl 2016-20 PFC'!F510</f>
        <v>11146726</v>
      </c>
      <c r="G524" s="950">
        <f>'Pl 2016-20 PFC'!G510</f>
        <v>11147000</v>
      </c>
      <c r="H524" s="950">
        <f t="shared" si="20"/>
        <v>-274</v>
      </c>
      <c r="I524" s="950">
        <f>'Pl 2016-20 PFC'!H510</f>
        <v>0</v>
      </c>
      <c r="J524" s="950">
        <f>'Pl 2016-20 PFC'!I510</f>
        <v>11147000</v>
      </c>
      <c r="K524" s="950" t="e">
        <f>'Pl 2016-20 PFC'!#REF!</f>
        <v>#REF!</v>
      </c>
      <c r="L524" s="847"/>
      <c r="M524" s="401"/>
      <c r="N524" s="407"/>
      <c r="O524" s="405"/>
      <c r="P524" s="405"/>
      <c r="Q524" s="405"/>
      <c r="R524" s="405"/>
      <c r="S524" s="407"/>
      <c r="T524" s="407"/>
      <c r="U524" s="407"/>
      <c r="V524" s="407"/>
      <c r="W524" s="407"/>
      <c r="X524" s="407"/>
      <c r="Y524" s="407"/>
      <c r="Z524" s="407"/>
      <c r="AA524" s="407"/>
      <c r="AB524" s="407"/>
      <c r="AC524" s="407"/>
      <c r="AD524" s="407"/>
      <c r="AE524" s="407"/>
      <c r="AF524" s="407"/>
      <c r="AG524" s="407"/>
      <c r="AH524" s="407"/>
      <c r="AI524" s="407"/>
      <c r="AJ524" s="407"/>
      <c r="AK524" s="407"/>
      <c r="AL524" s="407"/>
      <c r="AM524" s="407"/>
      <c r="AN524" s="407"/>
      <c r="AO524" s="407"/>
    </row>
    <row r="525" spans="1:41" s="400" customFormat="1" hidden="1">
      <c r="A525" s="779" t="s">
        <v>349</v>
      </c>
      <c r="B525" s="1241" t="s">
        <v>482</v>
      </c>
      <c r="C525" s="1215" t="s">
        <v>81</v>
      </c>
      <c r="D525" s="394">
        <f>'Pl 2016-20 PFC'!D529</f>
        <v>90525000</v>
      </c>
      <c r="E525" s="950">
        <f>'Pl 2016-20 PFC'!E529</f>
        <v>56856000</v>
      </c>
      <c r="F525" s="950">
        <f>'Pl 2016-20 PFC'!F529</f>
        <v>208000000</v>
      </c>
      <c r="G525" s="950">
        <f>'Pl 2016-20 PFC'!G529</f>
        <v>149889000</v>
      </c>
      <c r="H525" s="950">
        <f t="shared" si="20"/>
        <v>58111000</v>
      </c>
      <c r="I525" s="950">
        <f>'Pl 2016-20 PFC'!H529</f>
        <v>0</v>
      </c>
      <c r="J525" s="950">
        <f>'Pl 2016-20 PFC'!I529</f>
        <v>149889000</v>
      </c>
      <c r="K525" s="950" t="e">
        <f>'Pl 2016-20 PFC'!#REF!</f>
        <v>#REF!</v>
      </c>
      <c r="L525" s="843"/>
      <c r="M525" s="416"/>
      <c r="N525" s="392"/>
      <c r="O525" s="392"/>
      <c r="P525" s="392"/>
      <c r="Q525" s="392"/>
      <c r="R525" s="392"/>
      <c r="S525" s="392"/>
      <c r="T525" s="392"/>
      <c r="U525" s="392"/>
      <c r="V525" s="392"/>
      <c r="W525" s="392"/>
      <c r="X525" s="392"/>
      <c r="Y525" s="392"/>
      <c r="Z525" s="392"/>
      <c r="AA525" s="392"/>
      <c r="AB525" s="392"/>
      <c r="AC525" s="392"/>
      <c r="AD525" s="392"/>
      <c r="AE525" s="392"/>
      <c r="AF525" s="392"/>
      <c r="AG525" s="392"/>
      <c r="AH525" s="392"/>
      <c r="AI525" s="392"/>
      <c r="AJ525" s="392"/>
      <c r="AK525" s="392"/>
      <c r="AL525" s="392"/>
      <c r="AM525" s="392"/>
      <c r="AN525" s="399"/>
      <c r="AO525" s="399"/>
    </row>
    <row r="526" spans="1:41" s="400" customFormat="1" hidden="1">
      <c r="A526" s="779" t="s">
        <v>27</v>
      </c>
      <c r="B526" s="1214" t="s">
        <v>424</v>
      </c>
      <c r="C526" s="1253" t="s">
        <v>1058</v>
      </c>
      <c r="D526" s="394">
        <f>'Pl 2016-20 PFC'!D530</f>
        <v>62633000</v>
      </c>
      <c r="E526" s="1221">
        <f>'Pl 2016-20 PFC'!E530</f>
        <v>29870000</v>
      </c>
      <c r="F526" s="1221">
        <f>'Pl 2016-20 PFC'!F530</f>
        <v>45900000</v>
      </c>
      <c r="G526" s="1221">
        <f>'Pl 2016-20 PFC'!G530</f>
        <v>45489000</v>
      </c>
      <c r="H526" s="1221">
        <f t="shared" si="20"/>
        <v>411000</v>
      </c>
      <c r="I526" s="1221">
        <f>'Pl 2016-20 PFC'!H530</f>
        <v>0</v>
      </c>
      <c r="J526" s="1221">
        <f>'Pl 2016-20 PFC'!I530</f>
        <v>45489000</v>
      </c>
      <c r="K526" s="1221" t="e">
        <f>'Pl 2016-20 PFC'!#REF!</f>
        <v>#REF!</v>
      </c>
      <c r="L526" s="843"/>
      <c r="M526" s="392"/>
      <c r="N526" s="392"/>
      <c r="O526" s="392"/>
      <c r="P526" s="392"/>
      <c r="Q526" s="392"/>
      <c r="R526" s="392"/>
      <c r="S526" s="392"/>
      <c r="T526" s="392"/>
      <c r="U526" s="392"/>
      <c r="V526" s="392"/>
      <c r="W526" s="392"/>
      <c r="X526" s="392"/>
      <c r="Y526" s="392"/>
      <c r="Z526" s="392"/>
      <c r="AA526" s="392"/>
      <c r="AB526" s="392"/>
      <c r="AC526" s="392"/>
      <c r="AD526" s="392"/>
      <c r="AE526" s="392"/>
      <c r="AF526" s="392"/>
      <c r="AG526" s="392"/>
      <c r="AH526" s="392"/>
      <c r="AI526" s="392"/>
      <c r="AJ526" s="392"/>
      <c r="AK526" s="392"/>
      <c r="AL526" s="392"/>
      <c r="AM526" s="392"/>
      <c r="AN526" s="399"/>
      <c r="AO526" s="399"/>
    </row>
    <row r="527" spans="1:41" s="400" customFormat="1" hidden="1">
      <c r="A527" s="779" t="s">
        <v>93</v>
      </c>
      <c r="B527" s="1214" t="s">
        <v>145</v>
      </c>
      <c r="C527" s="1215" t="s">
        <v>270</v>
      </c>
      <c r="D527" s="394">
        <f>'Pl 2016-20 PFC'!D531</f>
        <v>62633000</v>
      </c>
      <c r="E527" s="950">
        <f>'Pl 2016-20 PFC'!E531</f>
        <v>29870000</v>
      </c>
      <c r="F527" s="950">
        <f>'Pl 2016-20 PFC'!F531</f>
        <v>45900000</v>
      </c>
      <c r="G527" s="950">
        <f>'Pl 2016-20 PFC'!G531</f>
        <v>45489000</v>
      </c>
      <c r="H527" s="950">
        <f t="shared" si="20"/>
        <v>411000</v>
      </c>
      <c r="I527" s="950">
        <f>'Pl 2016-20 PFC'!H531</f>
        <v>0</v>
      </c>
      <c r="J527" s="950">
        <f>'Pl 2016-20 PFC'!I531</f>
        <v>45489000</v>
      </c>
      <c r="K527" s="950" t="e">
        <f>'Pl 2016-20 PFC'!#REF!</f>
        <v>#REF!</v>
      </c>
      <c r="L527" s="843"/>
      <c r="M527" s="392"/>
      <c r="N527" s="392"/>
      <c r="O527" s="392"/>
      <c r="P527" s="392"/>
      <c r="Q527" s="392"/>
      <c r="R527" s="392"/>
      <c r="S527" s="392"/>
      <c r="T527" s="392"/>
      <c r="U527" s="392"/>
      <c r="V527" s="392"/>
      <c r="W527" s="392"/>
      <c r="X527" s="392"/>
      <c r="Y527" s="392"/>
      <c r="Z527" s="392"/>
      <c r="AA527" s="392"/>
      <c r="AB527" s="392"/>
      <c r="AC527" s="392"/>
      <c r="AD527" s="392"/>
      <c r="AE527" s="392"/>
      <c r="AF527" s="392"/>
      <c r="AG527" s="392"/>
      <c r="AH527" s="392"/>
      <c r="AI527" s="392"/>
      <c r="AJ527" s="392"/>
      <c r="AK527" s="392"/>
      <c r="AL527" s="392"/>
      <c r="AM527" s="392"/>
      <c r="AN527" s="399"/>
      <c r="AO527" s="399"/>
    </row>
    <row r="528" spans="1:41" s="400" customFormat="1" hidden="1">
      <c r="A528" s="779"/>
      <c r="B528" s="1214" t="s">
        <v>148</v>
      </c>
      <c r="C528" s="1215" t="s">
        <v>483</v>
      </c>
      <c r="D528" s="394"/>
      <c r="E528" s="950"/>
      <c r="F528" s="950"/>
      <c r="G528" s="950"/>
      <c r="H528" s="950">
        <f t="shared" si="20"/>
        <v>0</v>
      </c>
      <c r="I528" s="950"/>
      <c r="J528" s="950"/>
      <c r="K528" s="950"/>
      <c r="L528" s="843"/>
      <c r="M528" s="392"/>
      <c r="N528" s="392"/>
      <c r="O528" s="392"/>
      <c r="P528" s="392"/>
      <c r="Q528" s="392"/>
      <c r="R528" s="392"/>
      <c r="S528" s="392"/>
      <c r="T528" s="392"/>
      <c r="U528" s="392"/>
      <c r="V528" s="392"/>
      <c r="W528" s="392"/>
      <c r="X528" s="392"/>
      <c r="Y528" s="392"/>
      <c r="Z528" s="392"/>
      <c r="AA528" s="392"/>
      <c r="AB528" s="392"/>
      <c r="AC528" s="392"/>
      <c r="AD528" s="392"/>
      <c r="AE528" s="392"/>
      <c r="AF528" s="392"/>
      <c r="AG528" s="392"/>
      <c r="AH528" s="392"/>
      <c r="AI528" s="392"/>
      <c r="AJ528" s="392"/>
      <c r="AK528" s="392"/>
      <c r="AL528" s="392"/>
      <c r="AM528" s="392"/>
      <c r="AN528" s="399"/>
      <c r="AO528" s="399"/>
    </row>
    <row r="529" spans="1:41" s="400" customFormat="1" hidden="1">
      <c r="A529" s="779"/>
      <c r="B529" s="1214" t="s">
        <v>271</v>
      </c>
      <c r="C529" s="1215">
        <v>6110</v>
      </c>
      <c r="D529" s="394">
        <f>'Pl 2016-20 PFC'!D536</f>
        <v>27892000</v>
      </c>
      <c r="E529" s="950">
        <f>'Pl 2016-20 PFC'!E536</f>
        <v>26986000</v>
      </c>
      <c r="F529" s="950">
        <f>'Pl 2016-20 PFC'!F536</f>
        <v>162100000</v>
      </c>
      <c r="G529" s="950">
        <f>'Pl 2016-20 PFC'!G536</f>
        <v>104400000</v>
      </c>
      <c r="H529" s="950">
        <f t="shared" si="20"/>
        <v>57700000</v>
      </c>
      <c r="I529" s="950">
        <f>'Pl 2016-20 PFC'!H536</f>
        <v>0</v>
      </c>
      <c r="J529" s="950">
        <f>'Pl 2016-20 PFC'!I536</f>
        <v>104400000</v>
      </c>
      <c r="K529" s="950" t="e">
        <f>'Pl 2016-20 PFC'!#REF!</f>
        <v>#REF!</v>
      </c>
      <c r="L529" s="843"/>
      <c r="M529" s="392"/>
      <c r="N529" s="392"/>
      <c r="O529" s="392"/>
      <c r="P529" s="392"/>
      <c r="Q529" s="392"/>
      <c r="R529" s="392"/>
      <c r="S529" s="392"/>
      <c r="T529" s="392"/>
      <c r="U529" s="392"/>
      <c r="V529" s="392"/>
      <c r="W529" s="392"/>
      <c r="X529" s="392"/>
      <c r="Y529" s="392"/>
      <c r="Z529" s="392"/>
      <c r="AA529" s="392"/>
      <c r="AB529" s="392"/>
      <c r="AC529" s="392"/>
      <c r="AD529" s="392"/>
      <c r="AE529" s="392"/>
      <c r="AF529" s="392"/>
      <c r="AG529" s="392"/>
      <c r="AH529" s="392"/>
      <c r="AI529" s="392"/>
      <c r="AJ529" s="392"/>
      <c r="AK529" s="392"/>
      <c r="AL529" s="392"/>
      <c r="AM529" s="392"/>
      <c r="AN529" s="399"/>
      <c r="AO529" s="399"/>
    </row>
    <row r="530" spans="1:41" s="400" customFormat="1" hidden="1">
      <c r="A530" s="779"/>
      <c r="B530" s="1214" t="s">
        <v>272</v>
      </c>
      <c r="C530" s="1215" t="s">
        <v>81</v>
      </c>
      <c r="D530" s="394">
        <f>'Pl 2016-20 PFC'!D533</f>
        <v>43733000</v>
      </c>
      <c r="E530" s="950">
        <f>'Pl 2016-20 PFC'!E533</f>
        <v>19320000</v>
      </c>
      <c r="F530" s="950">
        <f>'Pl 2016-20 PFC'!F533</f>
        <v>24000000</v>
      </c>
      <c r="G530" s="950">
        <f>'Pl 2016-20 PFC'!G533</f>
        <v>24000000</v>
      </c>
      <c r="H530" s="950">
        <f t="shared" si="20"/>
        <v>0</v>
      </c>
      <c r="I530" s="950">
        <f>'Pl 2016-20 PFC'!H533</f>
        <v>0</v>
      </c>
      <c r="J530" s="950">
        <f>'Pl 2016-20 PFC'!I533</f>
        <v>24000000</v>
      </c>
      <c r="K530" s="950" t="e">
        <f>'Pl 2016-20 PFC'!#REF!</f>
        <v>#REF!</v>
      </c>
      <c r="L530" s="843"/>
      <c r="M530" s="392"/>
      <c r="N530" s="392"/>
      <c r="O530" s="392"/>
      <c r="P530" s="392"/>
      <c r="Q530" s="392"/>
      <c r="R530" s="392"/>
      <c r="S530" s="392"/>
      <c r="T530" s="392"/>
      <c r="U530" s="392"/>
      <c r="V530" s="392"/>
      <c r="W530" s="392"/>
      <c r="X530" s="392"/>
      <c r="Y530" s="392"/>
      <c r="Z530" s="392"/>
      <c r="AA530" s="392"/>
      <c r="AB530" s="392"/>
      <c r="AC530" s="392"/>
      <c r="AD530" s="392"/>
      <c r="AE530" s="392"/>
      <c r="AF530" s="392"/>
      <c r="AG530" s="392"/>
      <c r="AH530" s="392"/>
      <c r="AI530" s="392"/>
      <c r="AJ530" s="392"/>
      <c r="AK530" s="392"/>
      <c r="AL530" s="392"/>
      <c r="AM530" s="392"/>
      <c r="AN530" s="399"/>
      <c r="AO530" s="399"/>
    </row>
    <row r="531" spans="1:41" s="400" customFormat="1" hidden="1">
      <c r="A531" s="779"/>
      <c r="B531" s="1214" t="s">
        <v>273</v>
      </c>
      <c r="C531" s="1215" t="s">
        <v>274</v>
      </c>
      <c r="D531" s="394">
        <f>'Pl 2016-20 PFC'!D534</f>
        <v>43733000</v>
      </c>
      <c r="E531" s="950">
        <f>'Pl 2016-20 PFC'!E534</f>
        <v>19320000</v>
      </c>
      <c r="F531" s="950">
        <f>'Pl 2016-20 PFC'!F534</f>
        <v>24000000</v>
      </c>
      <c r="G531" s="950">
        <f>'Pl 2016-20 PFC'!G534</f>
        <v>24000000</v>
      </c>
      <c r="H531" s="950">
        <f t="shared" si="20"/>
        <v>0</v>
      </c>
      <c r="I531" s="950">
        <f>'Pl 2016-20 PFC'!H534</f>
        <v>0</v>
      </c>
      <c r="J531" s="950">
        <f>'Pl 2016-20 PFC'!I534</f>
        <v>24000000</v>
      </c>
      <c r="K531" s="950" t="e">
        <f>'Pl 2016-20 PFC'!#REF!</f>
        <v>#REF!</v>
      </c>
      <c r="L531" s="843"/>
      <c r="M531" s="392"/>
      <c r="N531" s="392"/>
      <c r="O531" s="392"/>
      <c r="P531" s="392"/>
      <c r="Q531" s="392"/>
      <c r="R531" s="392"/>
      <c r="S531" s="392"/>
      <c r="T531" s="392"/>
      <c r="U531" s="392"/>
      <c r="V531" s="392"/>
      <c r="W531" s="392"/>
      <c r="X531" s="392"/>
      <c r="Y531" s="392"/>
      <c r="Z531" s="392"/>
      <c r="AA531" s="392"/>
      <c r="AB531" s="392"/>
      <c r="AC531" s="392"/>
      <c r="AD531" s="392"/>
      <c r="AE531" s="392"/>
      <c r="AF531" s="392"/>
      <c r="AG531" s="392"/>
      <c r="AH531" s="392"/>
      <c r="AI531" s="392"/>
      <c r="AJ531" s="392"/>
      <c r="AK531" s="392"/>
      <c r="AL531" s="392"/>
      <c r="AM531" s="392"/>
      <c r="AN531" s="399"/>
      <c r="AO531" s="399"/>
    </row>
    <row r="532" spans="1:41" s="400" customFormat="1" hidden="1">
      <c r="A532" s="779"/>
      <c r="B532" s="1214" t="s">
        <v>420</v>
      </c>
      <c r="C532" s="1215" t="s">
        <v>483</v>
      </c>
      <c r="D532" s="394"/>
      <c r="E532" s="950"/>
      <c r="F532" s="950"/>
      <c r="G532" s="950"/>
      <c r="H532" s="950">
        <f t="shared" si="20"/>
        <v>0</v>
      </c>
      <c r="I532" s="950"/>
      <c r="J532" s="950"/>
      <c r="K532" s="950"/>
      <c r="L532" s="843"/>
      <c r="M532" s="392"/>
      <c r="N532" s="392"/>
      <c r="O532" s="392"/>
      <c r="P532" s="392"/>
      <c r="Q532" s="392"/>
      <c r="R532" s="392"/>
      <c r="S532" s="392"/>
      <c r="T532" s="392"/>
      <c r="U532" s="392"/>
      <c r="V532" s="392"/>
      <c r="W532" s="392"/>
      <c r="X532" s="392"/>
      <c r="Y532" s="392"/>
      <c r="Z532" s="392"/>
      <c r="AA532" s="392"/>
      <c r="AB532" s="392"/>
      <c r="AC532" s="392"/>
      <c r="AD532" s="392"/>
      <c r="AE532" s="392"/>
      <c r="AF532" s="392"/>
      <c r="AG532" s="392"/>
      <c r="AH532" s="392"/>
      <c r="AI532" s="392"/>
      <c r="AJ532" s="392"/>
      <c r="AK532" s="392"/>
      <c r="AL532" s="392"/>
      <c r="AM532" s="392"/>
      <c r="AN532" s="399"/>
      <c r="AO532" s="399"/>
    </row>
    <row r="533" spans="1:41" s="397" customFormat="1" hidden="1">
      <c r="A533" s="779" t="s">
        <v>28</v>
      </c>
      <c r="B533" s="1214" t="s">
        <v>484</v>
      </c>
      <c r="C533" s="1215" t="s">
        <v>427</v>
      </c>
      <c r="D533" s="394">
        <f>'Pl 2016-20 PFC'!D536</f>
        <v>27892000</v>
      </c>
      <c r="E533" s="950">
        <f>'Pl 2016-20 PFC'!E536</f>
        <v>26986000</v>
      </c>
      <c r="F533" s="950">
        <f>'Pl 2016-20 PFC'!F536</f>
        <v>162100000</v>
      </c>
      <c r="G533" s="950">
        <f>'Pl 2016-20 PFC'!G536</f>
        <v>104400000</v>
      </c>
      <c r="H533" s="950">
        <f t="shared" si="20"/>
        <v>57700000</v>
      </c>
      <c r="I533" s="950">
        <f>'Pl 2016-20 PFC'!H536</f>
        <v>0</v>
      </c>
      <c r="J533" s="950">
        <f>'Pl 2016-20 PFC'!I536</f>
        <v>104400000</v>
      </c>
      <c r="K533" s="950" t="e">
        <f>'Pl 2016-20 PFC'!#REF!</f>
        <v>#REF!</v>
      </c>
      <c r="L533" s="844"/>
      <c r="M533" s="347"/>
      <c r="N533" s="347"/>
      <c r="O533" s="347"/>
      <c r="P533" s="347"/>
      <c r="Q533" s="347"/>
      <c r="R533" s="347"/>
      <c r="S533" s="347"/>
      <c r="T533" s="347"/>
      <c r="U533" s="347"/>
      <c r="V533" s="347"/>
      <c r="W533" s="347"/>
      <c r="X533" s="347"/>
      <c r="Y533" s="347"/>
      <c r="Z533" s="347"/>
      <c r="AA533" s="347"/>
      <c r="AB533" s="347"/>
      <c r="AC533" s="347"/>
      <c r="AD533" s="347"/>
      <c r="AE533" s="347"/>
      <c r="AF533" s="347"/>
      <c r="AG533" s="347"/>
      <c r="AH533" s="347"/>
      <c r="AI533" s="347"/>
      <c r="AJ533" s="347"/>
      <c r="AK533" s="347"/>
      <c r="AL533" s="347"/>
      <c r="AM533" s="347"/>
      <c r="AN533" s="347"/>
      <c r="AO533" s="347"/>
    </row>
    <row r="534" spans="1:41" s="397" customFormat="1" hidden="1">
      <c r="A534" s="779" t="s">
        <v>276</v>
      </c>
      <c r="B534" s="1214" t="s">
        <v>277</v>
      </c>
      <c r="C534" s="1215" t="s">
        <v>278</v>
      </c>
      <c r="D534" s="394">
        <f>'Pl 2016-20 PFC'!D537</f>
        <v>23512000</v>
      </c>
      <c r="E534" s="950">
        <f>'Pl 2016-20 PFC'!E537</f>
        <v>22606000</v>
      </c>
      <c r="F534" s="950">
        <f>'Pl 2016-20 PFC'!F537</f>
        <v>152700000</v>
      </c>
      <c r="G534" s="950">
        <f>'Pl 2016-20 PFC'!G537</f>
        <v>98200000</v>
      </c>
      <c r="H534" s="950">
        <f t="shared" si="20"/>
        <v>54500000</v>
      </c>
      <c r="I534" s="950">
        <f>'Pl 2016-20 PFC'!H537</f>
        <v>0</v>
      </c>
      <c r="J534" s="950">
        <f>'Pl 2016-20 PFC'!I537</f>
        <v>98200000</v>
      </c>
      <c r="K534" s="950" t="e">
        <f>'Pl 2016-20 PFC'!#REF!</f>
        <v>#REF!</v>
      </c>
      <c r="L534" s="844"/>
      <c r="M534" s="398"/>
      <c r="N534" s="347"/>
      <c r="O534" s="347"/>
      <c r="P534" s="347"/>
      <c r="Q534" s="347"/>
      <c r="R534" s="347"/>
      <c r="S534" s="347"/>
      <c r="T534" s="347"/>
      <c r="U534" s="347"/>
      <c r="V534" s="347"/>
      <c r="W534" s="347"/>
      <c r="X534" s="347"/>
      <c r="Y534" s="347"/>
      <c r="Z534" s="347"/>
      <c r="AA534" s="347"/>
      <c r="AB534" s="347"/>
      <c r="AC534" s="347"/>
      <c r="AD534" s="347"/>
      <c r="AE534" s="347"/>
      <c r="AF534" s="347"/>
      <c r="AG534" s="347"/>
      <c r="AH534" s="347"/>
      <c r="AI534" s="347"/>
      <c r="AJ534" s="347"/>
      <c r="AK534" s="347"/>
      <c r="AL534" s="347"/>
      <c r="AM534" s="347"/>
      <c r="AN534" s="347"/>
      <c r="AO534" s="347"/>
    </row>
    <row r="535" spans="1:41" s="397" customFormat="1" hidden="1">
      <c r="A535" s="779"/>
      <c r="B535" s="1214" t="s">
        <v>273</v>
      </c>
      <c r="C535" s="1215" t="s">
        <v>278</v>
      </c>
      <c r="D535" s="394">
        <f>'Pl 2016-20 PFC'!D538</f>
        <v>23512000</v>
      </c>
      <c r="E535" s="950">
        <f>'Pl 2016-20 PFC'!E538</f>
        <v>22606000</v>
      </c>
      <c r="F535" s="950">
        <f>'Pl 2016-20 PFC'!F538</f>
        <v>152700000</v>
      </c>
      <c r="G535" s="950">
        <f>'Pl 2016-20 PFC'!G538</f>
        <v>98200000</v>
      </c>
      <c r="H535" s="950">
        <f t="shared" si="20"/>
        <v>54500000</v>
      </c>
      <c r="I535" s="950">
        <f>'Pl 2016-20 PFC'!H538</f>
        <v>0</v>
      </c>
      <c r="J535" s="950">
        <f>'Pl 2016-20 PFC'!I538</f>
        <v>98200000</v>
      </c>
      <c r="K535" s="950" t="e">
        <f>'Pl 2016-20 PFC'!#REF!</f>
        <v>#REF!</v>
      </c>
      <c r="L535" s="844"/>
      <c r="M535" s="347"/>
      <c r="N535" s="347"/>
      <c r="O535" s="347"/>
      <c r="P535" s="347"/>
      <c r="Q535" s="347"/>
      <c r="R535" s="347"/>
      <c r="S535" s="347"/>
      <c r="T535" s="347"/>
      <c r="U535" s="347"/>
      <c r="V535" s="347"/>
      <c r="W535" s="347"/>
      <c r="X535" s="347"/>
      <c r="Y535" s="347"/>
      <c r="Z535" s="347"/>
      <c r="AA535" s="347"/>
      <c r="AB535" s="347"/>
      <c r="AC535" s="347"/>
      <c r="AD535" s="347"/>
      <c r="AE535" s="347"/>
      <c r="AF535" s="347"/>
      <c r="AG535" s="347"/>
      <c r="AH535" s="347"/>
      <c r="AI535" s="347"/>
      <c r="AJ535" s="347"/>
      <c r="AK535" s="347"/>
      <c r="AL535" s="347"/>
      <c r="AM535" s="347"/>
      <c r="AN535" s="347"/>
      <c r="AO535" s="347"/>
    </row>
    <row r="536" spans="1:41" s="397" customFormat="1" hidden="1">
      <c r="A536" s="779"/>
      <c r="B536" s="1214" t="s">
        <v>420</v>
      </c>
      <c r="C536" s="1215" t="s">
        <v>485</v>
      </c>
      <c r="D536" s="394" t="str">
        <f>"$'Pl 2014-17 PFC'.$#ODWOŁANIE$#ODWOŁANIE"</f>
        <v>$'Pl 2014-17 PFC'.$#ODWOŁANIE$#ODWOŁANIE</v>
      </c>
      <c r="E536" s="950" t="str">
        <f>"$'Pl 2014-17 PFC'.$#ODWOŁANIE$#ODWOŁANIE"</f>
        <v>$'Pl 2014-17 PFC'.$#ODWOŁANIE$#ODWOŁANIE</v>
      </c>
      <c r="F536" s="950" t="str">
        <f>"$'Pl 2014-17 PFC'.$#ODWOŁANIE$#ODWOŁANIE"</f>
        <v>$'Pl 2014-17 PFC'.$#ODWOŁANIE$#ODWOŁANIE</v>
      </c>
      <c r="G536" s="950"/>
      <c r="H536" s="950" t="e">
        <f t="shared" si="20"/>
        <v>#VALUE!</v>
      </c>
      <c r="I536" s="950" t="str">
        <f>"$'Pl 2014-17 PFC'.$#ODWOŁANIE$#ODWOŁANIE"</f>
        <v>$'Pl 2014-17 PFC'.$#ODWOŁANIE$#ODWOŁANIE</v>
      </c>
      <c r="J536" s="950" t="str">
        <f>"$'Pl 2014-17 PFC'.$#ODWOŁANIE$#ODWOŁANIE"</f>
        <v>$'Pl 2014-17 PFC'.$#ODWOŁANIE$#ODWOŁANIE</v>
      </c>
      <c r="K536" s="950" t="str">
        <f>"$'Pl 2014-17 PFC'.$#ODWOŁANIE$#ODWOŁANIE"</f>
        <v>$'Pl 2014-17 PFC'.$#ODWOŁANIE$#ODWOŁANIE</v>
      </c>
      <c r="L536" s="844"/>
      <c r="M536" s="347"/>
      <c r="N536" s="347"/>
      <c r="O536" s="347"/>
      <c r="P536" s="347"/>
      <c r="Q536" s="347"/>
      <c r="R536" s="347"/>
      <c r="S536" s="347"/>
      <c r="T536" s="347"/>
      <c r="U536" s="347"/>
      <c r="V536" s="347"/>
      <c r="W536" s="347"/>
      <c r="X536" s="347"/>
      <c r="Y536" s="347"/>
      <c r="Z536" s="347"/>
      <c r="AA536" s="347"/>
      <c r="AB536" s="347"/>
      <c r="AC536" s="347"/>
      <c r="AD536" s="347"/>
      <c r="AE536" s="347"/>
      <c r="AF536" s="347"/>
      <c r="AG536" s="347"/>
      <c r="AH536" s="347"/>
      <c r="AI536" s="347"/>
      <c r="AJ536" s="347"/>
      <c r="AK536" s="347"/>
      <c r="AL536" s="347"/>
      <c r="AM536" s="347"/>
      <c r="AN536" s="347"/>
      <c r="AO536" s="347"/>
    </row>
    <row r="537" spans="1:41" s="397" customFormat="1" hidden="1">
      <c r="A537" s="779"/>
      <c r="B537" s="1214" t="s">
        <v>429</v>
      </c>
      <c r="C537" s="1215" t="s">
        <v>278</v>
      </c>
      <c r="D537" s="394">
        <f>'Pl 2016-20 PFC'!D539</f>
        <v>2396000</v>
      </c>
      <c r="E537" s="950">
        <f>'Pl 2016-20 PFC'!E539</f>
        <v>2396000</v>
      </c>
      <c r="F537" s="950">
        <f>'Pl 2016-20 PFC'!F539</f>
        <v>68700000</v>
      </c>
      <c r="G537" s="950">
        <f>'Pl 2016-20 PFC'!G539</f>
        <v>44200000</v>
      </c>
      <c r="H537" s="950">
        <f t="shared" si="20"/>
        <v>24500000</v>
      </c>
      <c r="I537" s="950">
        <f>'Pl 2016-20 PFC'!H539</f>
        <v>0</v>
      </c>
      <c r="J537" s="950">
        <f>'Pl 2016-20 PFC'!I539</f>
        <v>44200000</v>
      </c>
      <c r="K537" s="950" t="e">
        <f>'Pl 2016-20 PFC'!#REF!</f>
        <v>#REF!</v>
      </c>
      <c r="L537" s="844"/>
      <c r="M537" s="347"/>
      <c r="N537" s="347"/>
      <c r="O537" s="347"/>
      <c r="P537" s="347"/>
      <c r="Q537" s="347"/>
      <c r="R537" s="347"/>
      <c r="S537" s="347"/>
      <c r="T537" s="347"/>
      <c r="U537" s="347"/>
      <c r="V537" s="347"/>
      <c r="W537" s="347"/>
      <c r="X537" s="347"/>
      <c r="Y537" s="347"/>
      <c r="Z537" s="347"/>
      <c r="AA537" s="347"/>
      <c r="AB537" s="347"/>
      <c r="AC537" s="347"/>
      <c r="AD537" s="347"/>
      <c r="AE537" s="347"/>
      <c r="AF537" s="347"/>
      <c r="AG537" s="347"/>
      <c r="AH537" s="347"/>
      <c r="AI537" s="347"/>
      <c r="AJ537" s="347"/>
      <c r="AK537" s="347"/>
      <c r="AL537" s="347"/>
      <c r="AM537" s="347"/>
      <c r="AN537" s="347"/>
      <c r="AO537" s="347"/>
    </row>
    <row r="538" spans="1:41" s="397" customFormat="1" hidden="1">
      <c r="A538" s="779"/>
      <c r="B538" s="1214" t="s">
        <v>486</v>
      </c>
      <c r="C538" s="1215" t="s">
        <v>485</v>
      </c>
      <c r="D538" s="394" t="str">
        <f>"$'Pl 2014-17 PFC'.$#ODWOŁANIE$#ODWOŁANIE"</f>
        <v>$'Pl 2014-17 PFC'.$#ODWOŁANIE$#ODWOŁANIE</v>
      </c>
      <c r="E538" s="950" t="str">
        <f>"$'Pl 2014-17 PFC'.$#ODWOŁANIE$#ODWOŁANIE"</f>
        <v>$'Pl 2014-17 PFC'.$#ODWOŁANIE$#ODWOŁANIE</v>
      </c>
      <c r="F538" s="950" t="str">
        <f>"$'Pl 2014-17 PFC'.$#ODWOŁANIE$#ODWOŁANIE"</f>
        <v>$'Pl 2014-17 PFC'.$#ODWOŁANIE$#ODWOŁANIE</v>
      </c>
      <c r="G538" s="950"/>
      <c r="H538" s="950" t="e">
        <f t="shared" si="20"/>
        <v>#VALUE!</v>
      </c>
      <c r="I538" s="950" t="str">
        <f>"$'Pl 2014-17 PFC'.$#ODWOŁANIE$#ODWOŁANIE"</f>
        <v>$'Pl 2014-17 PFC'.$#ODWOŁANIE$#ODWOŁANIE</v>
      </c>
      <c r="J538" s="950" t="str">
        <f>"$'Pl 2014-17 PFC'.$#ODWOŁANIE$#ODWOŁANIE"</f>
        <v>$'Pl 2014-17 PFC'.$#ODWOŁANIE$#ODWOŁANIE</v>
      </c>
      <c r="K538" s="950" t="str">
        <f>"$'Pl 2014-17 PFC'.$#ODWOŁANIE$#ODWOŁANIE"</f>
        <v>$'Pl 2014-17 PFC'.$#ODWOŁANIE$#ODWOŁANIE</v>
      </c>
      <c r="L538" s="844"/>
      <c r="M538" s="347"/>
      <c r="N538" s="347"/>
      <c r="O538" s="347"/>
      <c r="P538" s="347"/>
      <c r="Q538" s="347"/>
      <c r="R538" s="347"/>
      <c r="S538" s="347"/>
      <c r="T538" s="347"/>
      <c r="U538" s="347"/>
      <c r="V538" s="347"/>
      <c r="W538" s="347"/>
      <c r="X538" s="347"/>
      <c r="Y538" s="347"/>
      <c r="Z538" s="347"/>
      <c r="AA538" s="347"/>
      <c r="AB538" s="347"/>
      <c r="AC538" s="347"/>
      <c r="AD538" s="347"/>
      <c r="AE538" s="347"/>
      <c r="AF538" s="347"/>
      <c r="AG538" s="347"/>
      <c r="AH538" s="347"/>
      <c r="AI538" s="347"/>
      <c r="AJ538" s="347"/>
      <c r="AK538" s="347"/>
      <c r="AL538" s="347"/>
      <c r="AM538" s="347"/>
      <c r="AN538" s="347"/>
      <c r="AO538" s="347"/>
    </row>
    <row r="539" spans="1:41" s="397" customFormat="1" hidden="1">
      <c r="A539" s="779"/>
      <c r="B539" s="1214" t="s">
        <v>430</v>
      </c>
      <c r="C539" s="1215" t="s">
        <v>278</v>
      </c>
      <c r="D539" s="394">
        <f>'Pl 2016-20 PFC'!D540</f>
        <v>1106000</v>
      </c>
      <c r="E539" s="950">
        <f>'Pl 2016-20 PFC'!E540</f>
        <v>200000</v>
      </c>
      <c r="F539" s="950">
        <f>'Pl 2016-20 PFC'!F540</f>
        <v>1000000</v>
      </c>
      <c r="G539" s="950">
        <f>'Pl 2016-20 PFC'!G540</f>
        <v>1000000</v>
      </c>
      <c r="H539" s="950">
        <f t="shared" ref="H539:H587" si="21">F539-G539</f>
        <v>0</v>
      </c>
      <c r="I539" s="950">
        <f>'Pl 2016-20 PFC'!H540</f>
        <v>0</v>
      </c>
      <c r="J539" s="950">
        <f>'Pl 2016-20 PFC'!I540</f>
        <v>1000000</v>
      </c>
      <c r="K539" s="950" t="e">
        <f>'Pl 2016-20 PFC'!#REF!</f>
        <v>#REF!</v>
      </c>
      <c r="L539" s="844"/>
      <c r="M539" s="347"/>
      <c r="N539" s="347"/>
      <c r="O539" s="347"/>
      <c r="P539" s="347"/>
      <c r="Q539" s="347"/>
      <c r="R539" s="347"/>
      <c r="S539" s="347"/>
      <c r="T539" s="347"/>
      <c r="U539" s="347"/>
      <c r="V539" s="347"/>
      <c r="W539" s="347"/>
      <c r="X539" s="347"/>
      <c r="Y539" s="347"/>
      <c r="Z539" s="347"/>
      <c r="AA539" s="347"/>
      <c r="AB539" s="347"/>
      <c r="AC539" s="347"/>
      <c r="AD539" s="347"/>
      <c r="AE539" s="347"/>
      <c r="AF539" s="347"/>
      <c r="AG539" s="347"/>
      <c r="AH539" s="347"/>
      <c r="AI539" s="347"/>
      <c r="AJ539" s="347"/>
      <c r="AK539" s="347"/>
      <c r="AL539" s="347"/>
      <c r="AM539" s="347"/>
      <c r="AN539" s="347"/>
      <c r="AO539" s="347"/>
    </row>
    <row r="540" spans="1:41" s="397" customFormat="1" hidden="1">
      <c r="A540" s="779"/>
      <c r="B540" s="1214" t="s">
        <v>384</v>
      </c>
      <c r="C540" s="1215" t="s">
        <v>278</v>
      </c>
      <c r="D540" s="394">
        <f>'Pl 2016-20 PFC'!D541</f>
        <v>0</v>
      </c>
      <c r="E540" s="950">
        <f>'Pl 2016-20 PFC'!E541</f>
        <v>0</v>
      </c>
      <c r="F540" s="950">
        <f>'Pl 2016-20 PFC'!F541</f>
        <v>0</v>
      </c>
      <c r="G540" s="950">
        <f>'Pl 2016-20 PFC'!G541</f>
        <v>0</v>
      </c>
      <c r="H540" s="950">
        <f t="shared" si="21"/>
        <v>0</v>
      </c>
      <c r="I540" s="950">
        <f>'Pl 2016-20 PFC'!H541</f>
        <v>0</v>
      </c>
      <c r="J540" s="950">
        <f>'Pl 2016-20 PFC'!I541</f>
        <v>0</v>
      </c>
      <c r="K540" s="950" t="e">
        <f>'Pl 2016-20 PFC'!#REF!</f>
        <v>#REF!</v>
      </c>
      <c r="L540" s="844"/>
      <c r="M540" s="347"/>
      <c r="N540" s="347"/>
      <c r="O540" s="347"/>
      <c r="P540" s="347"/>
      <c r="Q540" s="347"/>
      <c r="R540" s="347"/>
      <c r="S540" s="347"/>
      <c r="T540" s="347"/>
      <c r="U540" s="347"/>
      <c r="V540" s="347"/>
      <c r="W540" s="347"/>
      <c r="X540" s="347"/>
      <c r="Y540" s="347"/>
      <c r="Z540" s="347"/>
      <c r="AA540" s="347"/>
      <c r="AB540" s="347"/>
      <c r="AC540" s="347"/>
      <c r="AD540" s="347"/>
      <c r="AE540" s="347"/>
      <c r="AF540" s="347"/>
      <c r="AG540" s="347"/>
      <c r="AH540" s="347"/>
      <c r="AI540" s="347"/>
      <c r="AJ540" s="347"/>
      <c r="AK540" s="347"/>
      <c r="AL540" s="347"/>
      <c r="AM540" s="347"/>
      <c r="AN540" s="347"/>
      <c r="AO540" s="347"/>
    </row>
    <row r="541" spans="1:41" s="397" customFormat="1" ht="31.2" hidden="1">
      <c r="A541" s="779"/>
      <c r="B541" s="1214" t="s">
        <v>431</v>
      </c>
      <c r="C541" s="1215" t="s">
        <v>278</v>
      </c>
      <c r="D541" s="394">
        <f>'Pl 2016-20 PFC'!D542</f>
        <v>20010000</v>
      </c>
      <c r="E541" s="950">
        <f>'Pl 2016-20 PFC'!E542</f>
        <v>20010000</v>
      </c>
      <c r="F541" s="950">
        <f>'Pl 2016-20 PFC'!F542</f>
        <v>83000000</v>
      </c>
      <c r="G541" s="950">
        <f>'Pl 2016-20 PFC'!G542</f>
        <v>53000000</v>
      </c>
      <c r="H541" s="950">
        <f t="shared" si="21"/>
        <v>30000000</v>
      </c>
      <c r="I541" s="950">
        <f>'Pl 2016-20 PFC'!H542</f>
        <v>0</v>
      </c>
      <c r="J541" s="950">
        <f>'Pl 2016-20 PFC'!I542</f>
        <v>53000000</v>
      </c>
      <c r="K541" s="950" t="e">
        <f>'Pl 2016-20 PFC'!#REF!</f>
        <v>#REF!</v>
      </c>
      <c r="L541" s="844"/>
      <c r="M541" s="347"/>
      <c r="N541" s="347"/>
      <c r="O541" s="347"/>
      <c r="P541" s="347"/>
      <c r="Q541" s="347"/>
      <c r="R541" s="347"/>
      <c r="S541" s="347"/>
      <c r="T541" s="347"/>
      <c r="U541" s="347"/>
      <c r="V541" s="347"/>
      <c r="W541" s="347"/>
      <c r="X541" s="347"/>
      <c r="Y541" s="347"/>
      <c r="Z541" s="347"/>
      <c r="AA541" s="347"/>
      <c r="AB541" s="347"/>
      <c r="AC541" s="347"/>
      <c r="AD541" s="347"/>
      <c r="AE541" s="347"/>
      <c r="AF541" s="347"/>
      <c r="AG541" s="347"/>
      <c r="AH541" s="347"/>
      <c r="AI541" s="347"/>
      <c r="AJ541" s="347"/>
      <c r="AK541" s="347"/>
      <c r="AL541" s="347"/>
      <c r="AM541" s="347"/>
      <c r="AN541" s="347"/>
      <c r="AO541" s="347"/>
    </row>
    <row r="542" spans="1:41" s="397" customFormat="1" hidden="1">
      <c r="A542" s="779"/>
      <c r="B542" s="1214" t="s">
        <v>155</v>
      </c>
      <c r="C542" s="1215" t="s">
        <v>278</v>
      </c>
      <c r="D542" s="394">
        <f>'Pl 2016-20 PFC'!D543</f>
        <v>0</v>
      </c>
      <c r="E542" s="950">
        <f>'Pl 2016-20 PFC'!E543</f>
        <v>0</v>
      </c>
      <c r="F542" s="950">
        <f>'Pl 2016-20 PFC'!F543</f>
        <v>0</v>
      </c>
      <c r="G542" s="950">
        <f>'Pl 2016-20 PFC'!G543</f>
        <v>0</v>
      </c>
      <c r="H542" s="950">
        <f t="shared" si="21"/>
        <v>0</v>
      </c>
      <c r="I542" s="950">
        <f>'Pl 2016-20 PFC'!H543</f>
        <v>0</v>
      </c>
      <c r="J542" s="950">
        <f>'Pl 2016-20 PFC'!I543</f>
        <v>0</v>
      </c>
      <c r="K542" s="950" t="e">
        <f>'Pl 2016-20 PFC'!#REF!</f>
        <v>#REF!</v>
      </c>
      <c r="L542" s="844"/>
      <c r="M542" s="347"/>
      <c r="N542" s="347"/>
      <c r="O542" s="347"/>
      <c r="P542" s="347"/>
      <c r="Q542" s="347"/>
      <c r="R542" s="347"/>
      <c r="S542" s="347"/>
      <c r="T542" s="347"/>
      <c r="U542" s="347"/>
      <c r="V542" s="347"/>
      <c r="W542" s="347"/>
      <c r="X542" s="347"/>
      <c r="Y542" s="347"/>
      <c r="Z542" s="347"/>
      <c r="AA542" s="347"/>
      <c r="AB542" s="347"/>
      <c r="AC542" s="347"/>
      <c r="AD542" s="347"/>
      <c r="AE542" s="347"/>
      <c r="AF542" s="347"/>
      <c r="AG542" s="347"/>
      <c r="AH542" s="347"/>
      <c r="AI542" s="347"/>
      <c r="AJ542" s="347"/>
      <c r="AK542" s="347"/>
      <c r="AL542" s="347"/>
      <c r="AM542" s="347"/>
      <c r="AN542" s="347"/>
      <c r="AO542" s="347"/>
    </row>
    <row r="543" spans="1:41" s="397" customFormat="1" hidden="1">
      <c r="A543" s="779"/>
      <c r="B543" s="1214" t="s">
        <v>279</v>
      </c>
      <c r="C543" s="1215" t="s">
        <v>278</v>
      </c>
      <c r="D543" s="394">
        <f>'Pl 2016-20 PFC'!D544</f>
        <v>0</v>
      </c>
      <c r="E543" s="950">
        <f>'Pl 2016-20 PFC'!E544</f>
        <v>0</v>
      </c>
      <c r="F543" s="950">
        <f>'Pl 2016-20 PFC'!F544</f>
        <v>0</v>
      </c>
      <c r="G543" s="950">
        <f>'Pl 2016-20 PFC'!G544</f>
        <v>0</v>
      </c>
      <c r="H543" s="950">
        <f t="shared" si="21"/>
        <v>0</v>
      </c>
      <c r="I543" s="950">
        <f>'Pl 2016-20 PFC'!H544</f>
        <v>0</v>
      </c>
      <c r="J543" s="950">
        <f>'Pl 2016-20 PFC'!I544</f>
        <v>0</v>
      </c>
      <c r="K543" s="950" t="e">
        <f>'Pl 2016-20 PFC'!#REF!</f>
        <v>#REF!</v>
      </c>
      <c r="L543" s="844"/>
      <c r="M543" s="347"/>
      <c r="N543" s="347"/>
      <c r="O543" s="347"/>
      <c r="P543" s="347"/>
      <c r="Q543" s="347"/>
      <c r="R543" s="347"/>
      <c r="S543" s="347"/>
      <c r="T543" s="347"/>
      <c r="U543" s="347"/>
      <c r="V543" s="347"/>
      <c r="W543" s="347"/>
      <c r="X543" s="347"/>
      <c r="Y543" s="347"/>
      <c r="Z543" s="347"/>
      <c r="AA543" s="347"/>
      <c r="AB543" s="347"/>
      <c r="AC543" s="347"/>
      <c r="AD543" s="347"/>
      <c r="AE543" s="347"/>
      <c r="AF543" s="347"/>
      <c r="AG543" s="347"/>
      <c r="AH543" s="347"/>
      <c r="AI543" s="347"/>
      <c r="AJ543" s="347"/>
      <c r="AK543" s="347"/>
      <c r="AL543" s="347"/>
      <c r="AM543" s="347"/>
      <c r="AN543" s="347"/>
      <c r="AO543" s="347"/>
    </row>
    <row r="544" spans="1:41" s="397" customFormat="1" hidden="1">
      <c r="A544" s="779"/>
      <c r="B544" s="1214" t="s">
        <v>376</v>
      </c>
      <c r="C544" s="1215" t="s">
        <v>278</v>
      </c>
      <c r="D544" s="394">
        <f>'Pl 2016-20 PFC'!D545</f>
        <v>0</v>
      </c>
      <c r="E544" s="950">
        <f>'Pl 2016-20 PFC'!E545</f>
        <v>0</v>
      </c>
      <c r="F544" s="950">
        <f>'Pl 2016-20 PFC'!F545</f>
        <v>0</v>
      </c>
      <c r="G544" s="950">
        <f>'Pl 2016-20 PFC'!G545</f>
        <v>0</v>
      </c>
      <c r="H544" s="950">
        <f t="shared" si="21"/>
        <v>0</v>
      </c>
      <c r="I544" s="950">
        <f>'Pl 2016-20 PFC'!H545</f>
        <v>0</v>
      </c>
      <c r="J544" s="950">
        <f>'Pl 2016-20 PFC'!I545</f>
        <v>0</v>
      </c>
      <c r="K544" s="950" t="e">
        <f>'Pl 2016-20 PFC'!#REF!</f>
        <v>#REF!</v>
      </c>
      <c r="L544" s="844"/>
      <c r="M544" s="347"/>
      <c r="N544" s="347"/>
      <c r="O544" s="347"/>
      <c r="P544" s="347"/>
      <c r="Q544" s="347"/>
      <c r="R544" s="347"/>
      <c r="S544" s="347"/>
      <c r="T544" s="347"/>
      <c r="U544" s="347"/>
      <c r="V544" s="347"/>
      <c r="W544" s="347"/>
      <c r="X544" s="347"/>
      <c r="Y544" s="347"/>
      <c r="Z544" s="347"/>
      <c r="AA544" s="347"/>
      <c r="AB544" s="347"/>
      <c r="AC544" s="347"/>
      <c r="AD544" s="347"/>
      <c r="AE544" s="347"/>
      <c r="AF544" s="347"/>
      <c r="AG544" s="347"/>
      <c r="AH544" s="347"/>
      <c r="AI544" s="347"/>
      <c r="AJ544" s="347"/>
      <c r="AK544" s="347"/>
      <c r="AL544" s="347"/>
      <c r="AM544" s="347"/>
      <c r="AN544" s="347"/>
      <c r="AO544" s="347"/>
    </row>
    <row r="545" spans="1:41" s="397" customFormat="1" hidden="1">
      <c r="A545" s="779"/>
      <c r="B545" s="1214" t="s">
        <v>157</v>
      </c>
      <c r="C545" s="1215" t="s">
        <v>278</v>
      </c>
      <c r="D545" s="394">
        <f>'Pl 2016-20 PFC'!D546</f>
        <v>0</v>
      </c>
      <c r="E545" s="950">
        <f>'Pl 2016-20 PFC'!E546</f>
        <v>0</v>
      </c>
      <c r="F545" s="950">
        <f>'Pl 2016-20 PFC'!F546</f>
        <v>0</v>
      </c>
      <c r="G545" s="950">
        <f>'Pl 2016-20 PFC'!G546</f>
        <v>0</v>
      </c>
      <c r="H545" s="950">
        <f t="shared" si="21"/>
        <v>0</v>
      </c>
      <c r="I545" s="950">
        <f>'Pl 2016-20 PFC'!H546</f>
        <v>0</v>
      </c>
      <c r="J545" s="950">
        <f>'Pl 2016-20 PFC'!I546</f>
        <v>0</v>
      </c>
      <c r="K545" s="950" t="e">
        <f>'Pl 2016-20 PFC'!#REF!</f>
        <v>#REF!</v>
      </c>
      <c r="L545" s="844"/>
      <c r="M545" s="347"/>
      <c r="N545" s="347"/>
      <c r="O545" s="347"/>
      <c r="P545" s="347"/>
      <c r="Q545" s="347"/>
      <c r="R545" s="347"/>
      <c r="S545" s="347"/>
      <c r="T545" s="347"/>
      <c r="U545" s="347"/>
      <c r="V545" s="347"/>
      <c r="W545" s="347"/>
      <c r="X545" s="347"/>
      <c r="Y545" s="347"/>
      <c r="Z545" s="347"/>
      <c r="AA545" s="347"/>
      <c r="AB545" s="347"/>
      <c r="AC545" s="347"/>
      <c r="AD545" s="347"/>
      <c r="AE545" s="347"/>
      <c r="AF545" s="347"/>
      <c r="AG545" s="347"/>
      <c r="AH545" s="347"/>
      <c r="AI545" s="347"/>
      <c r="AJ545" s="347"/>
      <c r="AK545" s="347"/>
      <c r="AL545" s="347"/>
      <c r="AM545" s="347"/>
      <c r="AN545" s="347"/>
      <c r="AO545" s="347"/>
    </row>
    <row r="546" spans="1:41" s="397" customFormat="1" hidden="1">
      <c r="A546" s="779"/>
      <c r="B546" s="1214" t="s">
        <v>158</v>
      </c>
      <c r="C546" s="1215" t="s">
        <v>278</v>
      </c>
      <c r="D546" s="394">
        <f>'Pl 2016-20 PFC'!D547</f>
        <v>0</v>
      </c>
      <c r="E546" s="950">
        <f>'Pl 2016-20 PFC'!E547</f>
        <v>0</v>
      </c>
      <c r="F546" s="950">
        <f>'Pl 2016-20 PFC'!F547</f>
        <v>0</v>
      </c>
      <c r="G546" s="950">
        <f>'Pl 2016-20 PFC'!G547</f>
        <v>0</v>
      </c>
      <c r="H546" s="950">
        <f t="shared" si="21"/>
        <v>0</v>
      </c>
      <c r="I546" s="950">
        <f>'Pl 2016-20 PFC'!H547</f>
        <v>0</v>
      </c>
      <c r="J546" s="950">
        <f>'Pl 2016-20 PFC'!I547</f>
        <v>0</v>
      </c>
      <c r="K546" s="950" t="e">
        <f>'Pl 2016-20 PFC'!#REF!</f>
        <v>#REF!</v>
      </c>
      <c r="L546" s="844"/>
      <c r="M546" s="347"/>
      <c r="N546" s="347"/>
      <c r="O546" s="347"/>
      <c r="P546" s="347"/>
      <c r="Q546" s="347"/>
      <c r="R546" s="347"/>
      <c r="S546" s="347"/>
      <c r="T546" s="347"/>
      <c r="U546" s="347"/>
      <c r="V546" s="347"/>
      <c r="W546" s="347"/>
      <c r="X546" s="347"/>
      <c r="Y546" s="347"/>
      <c r="Z546" s="347"/>
      <c r="AA546" s="347"/>
      <c r="AB546" s="347"/>
      <c r="AC546" s="347"/>
      <c r="AD546" s="347"/>
      <c r="AE546" s="347"/>
      <c r="AF546" s="347"/>
      <c r="AG546" s="347"/>
      <c r="AH546" s="347"/>
      <c r="AI546" s="347"/>
      <c r="AJ546" s="347"/>
      <c r="AK546" s="347"/>
      <c r="AL546" s="347"/>
      <c r="AM546" s="347"/>
      <c r="AN546" s="347"/>
      <c r="AO546" s="347"/>
    </row>
    <row r="547" spans="1:41" s="397" customFormat="1" hidden="1">
      <c r="A547" s="779"/>
      <c r="B547" s="1214" t="s">
        <v>163</v>
      </c>
      <c r="C547" s="1215" t="s">
        <v>278</v>
      </c>
      <c r="D547" s="394">
        <f>'Pl 2016-20 PFC'!D548</f>
        <v>0</v>
      </c>
      <c r="E547" s="950">
        <f>'Pl 2016-20 PFC'!E548</f>
        <v>0</v>
      </c>
      <c r="F547" s="950">
        <f>'Pl 2016-20 PFC'!F548</f>
        <v>0</v>
      </c>
      <c r="G547" s="950">
        <f>'Pl 2016-20 PFC'!G548</f>
        <v>0</v>
      </c>
      <c r="H547" s="950">
        <f t="shared" si="21"/>
        <v>0</v>
      </c>
      <c r="I547" s="950">
        <f>'Pl 2016-20 PFC'!H548</f>
        <v>0</v>
      </c>
      <c r="J547" s="950">
        <f>'Pl 2016-20 PFC'!I548</f>
        <v>0</v>
      </c>
      <c r="K547" s="950" t="e">
        <f>'Pl 2016-20 PFC'!#REF!</f>
        <v>#REF!</v>
      </c>
      <c r="L547" s="844"/>
      <c r="M547" s="347"/>
      <c r="N547" s="347"/>
      <c r="O547" s="347"/>
      <c r="P547" s="347"/>
      <c r="Q547" s="347"/>
      <c r="R547" s="347"/>
      <c r="S547" s="347"/>
      <c r="T547" s="347"/>
      <c r="U547" s="347"/>
      <c r="V547" s="347"/>
      <c r="W547" s="347"/>
      <c r="X547" s="347"/>
      <c r="Y547" s="347"/>
      <c r="Z547" s="347"/>
      <c r="AA547" s="347"/>
      <c r="AB547" s="347"/>
      <c r="AC547" s="347"/>
      <c r="AD547" s="347"/>
      <c r="AE547" s="347"/>
      <c r="AF547" s="347"/>
      <c r="AG547" s="347"/>
      <c r="AH547" s="347"/>
      <c r="AI547" s="347"/>
      <c r="AJ547" s="347"/>
      <c r="AK547" s="347"/>
      <c r="AL547" s="347"/>
      <c r="AM547" s="347"/>
      <c r="AN547" s="347"/>
      <c r="AO547" s="347"/>
    </row>
    <row r="548" spans="1:41" s="397" customFormat="1" hidden="1">
      <c r="A548" s="779"/>
      <c r="B548" s="1214" t="s">
        <v>164</v>
      </c>
      <c r="C548" s="1215" t="s">
        <v>278</v>
      </c>
      <c r="D548" s="394">
        <f>'Pl 2016-20 PFC'!D549</f>
        <v>0</v>
      </c>
      <c r="E548" s="950">
        <f>'Pl 2016-20 PFC'!E549</f>
        <v>0</v>
      </c>
      <c r="F548" s="950">
        <f>'Pl 2016-20 PFC'!F549</f>
        <v>0</v>
      </c>
      <c r="G548" s="950">
        <f>'Pl 2016-20 PFC'!G549</f>
        <v>0</v>
      </c>
      <c r="H548" s="950">
        <f t="shared" si="21"/>
        <v>0</v>
      </c>
      <c r="I548" s="950">
        <f>'Pl 2016-20 PFC'!H549</f>
        <v>0</v>
      </c>
      <c r="J548" s="950">
        <f>'Pl 2016-20 PFC'!I549</f>
        <v>0</v>
      </c>
      <c r="K548" s="950" t="e">
        <f>'Pl 2016-20 PFC'!#REF!</f>
        <v>#REF!</v>
      </c>
      <c r="L548" s="844"/>
      <c r="M548" s="347"/>
      <c r="N548" s="347"/>
      <c r="O548" s="347"/>
      <c r="P548" s="347"/>
      <c r="Q548" s="347"/>
      <c r="R548" s="347"/>
      <c r="S548" s="347"/>
      <c r="T548" s="347"/>
      <c r="U548" s="347"/>
      <c r="V548" s="347"/>
      <c r="W548" s="347"/>
      <c r="X548" s="347"/>
      <c r="Y548" s="347"/>
      <c r="Z548" s="347"/>
      <c r="AA548" s="347"/>
      <c r="AB548" s="347"/>
      <c r="AC548" s="347"/>
      <c r="AD548" s="347"/>
      <c r="AE548" s="347"/>
      <c r="AF548" s="347"/>
      <c r="AG548" s="347"/>
      <c r="AH548" s="347"/>
      <c r="AI548" s="347"/>
      <c r="AJ548" s="347"/>
      <c r="AK548" s="347"/>
      <c r="AL548" s="347"/>
      <c r="AM548" s="347"/>
      <c r="AN548" s="347"/>
      <c r="AO548" s="347"/>
    </row>
    <row r="549" spans="1:41" s="397" customFormat="1" hidden="1">
      <c r="A549" s="779"/>
      <c r="B549" s="1214" t="s">
        <v>167</v>
      </c>
      <c r="C549" s="1215" t="s">
        <v>278</v>
      </c>
      <c r="D549" s="394">
        <f>'Pl 2016-20 PFC'!D550</f>
        <v>3000000</v>
      </c>
      <c r="E549" s="950">
        <f>'Pl 2016-20 PFC'!E550</f>
        <v>3000000</v>
      </c>
      <c r="F549" s="950">
        <f>'Pl 2016-20 PFC'!F550</f>
        <v>3000000</v>
      </c>
      <c r="G549" s="950">
        <f>'Pl 2016-20 PFC'!G550</f>
        <v>3000000</v>
      </c>
      <c r="H549" s="950">
        <f t="shared" si="21"/>
        <v>0</v>
      </c>
      <c r="I549" s="950">
        <f>'Pl 2016-20 PFC'!H550</f>
        <v>0</v>
      </c>
      <c r="J549" s="950">
        <f>'Pl 2016-20 PFC'!I550</f>
        <v>3000000</v>
      </c>
      <c r="K549" s="950" t="e">
        <f>'Pl 2016-20 PFC'!#REF!</f>
        <v>#REF!</v>
      </c>
      <c r="L549" s="844"/>
      <c r="M549" s="347"/>
      <c r="N549" s="347"/>
      <c r="O549" s="347"/>
      <c r="P549" s="347"/>
      <c r="Q549" s="347"/>
      <c r="R549" s="347"/>
      <c r="S549" s="347"/>
      <c r="T549" s="347"/>
      <c r="U549" s="347"/>
      <c r="V549" s="347"/>
      <c r="W549" s="347"/>
      <c r="X549" s="347"/>
      <c r="Y549" s="347"/>
      <c r="Z549" s="347"/>
      <c r="AA549" s="347"/>
      <c r="AB549" s="347"/>
      <c r="AC549" s="347"/>
      <c r="AD549" s="347"/>
      <c r="AE549" s="347"/>
      <c r="AF549" s="347"/>
      <c r="AG549" s="347"/>
      <c r="AH549" s="347"/>
      <c r="AI549" s="347"/>
      <c r="AJ549" s="347"/>
      <c r="AK549" s="347"/>
      <c r="AL549" s="347"/>
      <c r="AM549" s="347"/>
      <c r="AN549" s="347"/>
      <c r="AO549" s="347"/>
    </row>
    <row r="550" spans="1:41" s="397" customFormat="1" hidden="1">
      <c r="A550" s="779"/>
      <c r="B550" s="1214" t="s">
        <v>166</v>
      </c>
      <c r="C550" s="1215"/>
      <c r="D550" s="394">
        <f>'Pl 2016-20 PFC'!D551</f>
        <v>17010000</v>
      </c>
      <c r="E550" s="950">
        <f>'Pl 2016-20 PFC'!E551</f>
        <v>17010000</v>
      </c>
      <c r="F550" s="950">
        <f>'Pl 2016-20 PFC'!F551</f>
        <v>80000000</v>
      </c>
      <c r="G550" s="950">
        <f>'Pl 2016-20 PFC'!G551</f>
        <v>50000000</v>
      </c>
      <c r="H550" s="950">
        <f t="shared" si="21"/>
        <v>30000000</v>
      </c>
      <c r="I550" s="950">
        <f>'Pl 2016-20 PFC'!H551</f>
        <v>0</v>
      </c>
      <c r="J550" s="950">
        <f>'Pl 2016-20 PFC'!I551</f>
        <v>50000000</v>
      </c>
      <c r="K550" s="950" t="e">
        <f>'Pl 2016-20 PFC'!#REF!</f>
        <v>#REF!</v>
      </c>
      <c r="L550" s="844"/>
      <c r="M550" s="347"/>
      <c r="N550" s="347"/>
      <c r="O550" s="347"/>
      <c r="P550" s="347"/>
      <c r="Q550" s="347"/>
      <c r="R550" s="347"/>
      <c r="S550" s="347"/>
      <c r="T550" s="347"/>
      <c r="U550" s="347"/>
      <c r="V550" s="347"/>
      <c r="W550" s="347"/>
      <c r="X550" s="347"/>
      <c r="Y550" s="347"/>
      <c r="Z550" s="347"/>
      <c r="AA550" s="347"/>
      <c r="AB550" s="347"/>
      <c r="AC550" s="347"/>
      <c r="AD550" s="347"/>
      <c r="AE550" s="347"/>
      <c r="AF550" s="347"/>
      <c r="AG550" s="347"/>
      <c r="AH550" s="347"/>
      <c r="AI550" s="347"/>
      <c r="AJ550" s="347"/>
      <c r="AK550" s="347"/>
      <c r="AL550" s="347"/>
      <c r="AM550" s="347"/>
      <c r="AN550" s="347"/>
      <c r="AO550" s="347"/>
    </row>
    <row r="551" spans="1:41" s="397" customFormat="1" hidden="1">
      <c r="A551" s="779"/>
      <c r="B551" s="1214" t="s">
        <v>181</v>
      </c>
      <c r="C551" s="1215" t="s">
        <v>278</v>
      </c>
      <c r="D551" s="394">
        <f>'Pl 2016-20 PFC'!D552</f>
        <v>0</v>
      </c>
      <c r="E551" s="950">
        <f>'Pl 2016-20 PFC'!E552</f>
        <v>0</v>
      </c>
      <c r="F551" s="950">
        <f>'Pl 2016-20 PFC'!F552</f>
        <v>0</v>
      </c>
      <c r="G551" s="950">
        <f>'Pl 2016-20 PFC'!G552</f>
        <v>0</v>
      </c>
      <c r="H551" s="950">
        <f t="shared" si="21"/>
        <v>0</v>
      </c>
      <c r="I551" s="950">
        <f>'Pl 2016-20 PFC'!H552</f>
        <v>0</v>
      </c>
      <c r="J551" s="950">
        <f>'Pl 2016-20 PFC'!I552</f>
        <v>0</v>
      </c>
      <c r="K551" s="950" t="e">
        <f>'Pl 2016-20 PFC'!#REF!</f>
        <v>#REF!</v>
      </c>
      <c r="L551" s="844"/>
      <c r="M551" s="347"/>
      <c r="N551" s="347"/>
      <c r="O551" s="347"/>
      <c r="P551" s="347"/>
      <c r="Q551" s="347"/>
      <c r="R551" s="347"/>
      <c r="S551" s="347"/>
      <c r="T551" s="347"/>
      <c r="U551" s="347"/>
      <c r="V551" s="347"/>
      <c r="W551" s="347"/>
      <c r="X551" s="347"/>
      <c r="Y551" s="347"/>
      <c r="Z551" s="347"/>
      <c r="AA551" s="347"/>
      <c r="AB551" s="347"/>
      <c r="AC551" s="347"/>
      <c r="AD551" s="347"/>
      <c r="AE551" s="347"/>
      <c r="AF551" s="347"/>
      <c r="AG551" s="347"/>
      <c r="AH551" s="347"/>
      <c r="AI551" s="347"/>
      <c r="AJ551" s="347"/>
      <c r="AK551" s="347"/>
      <c r="AL551" s="347"/>
      <c r="AM551" s="347"/>
      <c r="AN551" s="347"/>
      <c r="AO551" s="347"/>
    </row>
    <row r="552" spans="1:41" s="397" customFormat="1" hidden="1">
      <c r="A552" s="779"/>
      <c r="B552" s="1214"/>
      <c r="C552" s="1215"/>
      <c r="D552" s="394"/>
      <c r="E552" s="950"/>
      <c r="F552" s="950"/>
      <c r="G552" s="950"/>
      <c r="H552" s="950">
        <f t="shared" si="21"/>
        <v>0</v>
      </c>
      <c r="I552" s="950"/>
      <c r="J552" s="950"/>
      <c r="K552" s="950"/>
      <c r="L552" s="844"/>
      <c r="M552" s="347"/>
      <c r="N552" s="347"/>
      <c r="O552" s="347"/>
      <c r="P552" s="347"/>
      <c r="Q552" s="347"/>
      <c r="R552" s="347"/>
      <c r="S552" s="347"/>
      <c r="T552" s="347"/>
      <c r="U552" s="347"/>
      <c r="V552" s="347"/>
      <c r="W552" s="347"/>
      <c r="X552" s="347"/>
      <c r="Y552" s="347"/>
      <c r="Z552" s="347"/>
      <c r="AA552" s="347"/>
      <c r="AB552" s="347"/>
      <c r="AC552" s="347"/>
      <c r="AD552" s="347"/>
      <c r="AE552" s="347"/>
      <c r="AF552" s="347"/>
      <c r="AG552" s="347"/>
      <c r="AH552" s="347"/>
      <c r="AI552" s="347"/>
      <c r="AJ552" s="347"/>
      <c r="AK552" s="347"/>
      <c r="AL552" s="347"/>
      <c r="AM552" s="347"/>
      <c r="AN552" s="347"/>
      <c r="AO552" s="347"/>
    </row>
    <row r="553" spans="1:41" s="417" customFormat="1" ht="16.2" hidden="1" thickBot="1">
      <c r="A553" s="779" t="s">
        <v>281</v>
      </c>
      <c r="B553" s="1214" t="s">
        <v>282</v>
      </c>
      <c r="C553" s="376" t="s">
        <v>283</v>
      </c>
      <c r="D553" s="394">
        <f>'Pl 2016-20 PFC'!D554</f>
        <v>4380000</v>
      </c>
      <c r="E553" s="950">
        <f>'Pl 2016-20 PFC'!E554</f>
        <v>4380000</v>
      </c>
      <c r="F553" s="950">
        <f>'Pl 2016-20 PFC'!F554</f>
        <v>9400000</v>
      </c>
      <c r="G553" s="950">
        <f>'Pl 2016-20 PFC'!G554</f>
        <v>6200000</v>
      </c>
      <c r="H553" s="950">
        <f t="shared" si="21"/>
        <v>3200000</v>
      </c>
      <c r="I553" s="950">
        <f>'Pl 2016-20 PFC'!H554</f>
        <v>0</v>
      </c>
      <c r="J553" s="950">
        <f>'Pl 2016-20 PFC'!I554</f>
        <v>6200000</v>
      </c>
      <c r="K553" s="950" t="e">
        <f>'Pl 2016-20 PFC'!#REF!</f>
        <v>#REF!</v>
      </c>
      <c r="L553" s="844"/>
      <c r="M553" s="398"/>
      <c r="N553" s="347"/>
      <c r="O553" s="347"/>
      <c r="P553" s="347"/>
      <c r="Q553" s="347"/>
      <c r="R553" s="347"/>
      <c r="S553" s="347"/>
      <c r="T553" s="347"/>
      <c r="U553" s="347"/>
      <c r="V553" s="347"/>
      <c r="W553" s="347"/>
      <c r="X553" s="347"/>
      <c r="Y553" s="347"/>
      <c r="Z553" s="347"/>
      <c r="AA553" s="347"/>
      <c r="AB553" s="347"/>
      <c r="AC553" s="347"/>
      <c r="AD553" s="347"/>
      <c r="AE553" s="347"/>
      <c r="AF553" s="347"/>
      <c r="AG553" s="347"/>
      <c r="AH553" s="347"/>
      <c r="AI553" s="347"/>
      <c r="AJ553" s="347"/>
      <c r="AK553" s="347"/>
      <c r="AL553" s="347"/>
      <c r="AM553" s="347"/>
      <c r="AN553" s="347"/>
      <c r="AO553" s="347"/>
    </row>
    <row r="554" spans="1:41" s="397" customFormat="1" hidden="1">
      <c r="A554" s="779"/>
      <c r="B554" s="1214" t="s">
        <v>273</v>
      </c>
      <c r="C554" s="1215" t="s">
        <v>283</v>
      </c>
      <c r="D554" s="394">
        <f>'Pl 2016-20 PFC'!D555</f>
        <v>4380000</v>
      </c>
      <c r="E554" s="950">
        <f>'Pl 2016-20 PFC'!E555</f>
        <v>4380000</v>
      </c>
      <c r="F554" s="950">
        <f>'Pl 2016-20 PFC'!F555</f>
        <v>9400000</v>
      </c>
      <c r="G554" s="950">
        <f>'Pl 2016-20 PFC'!G555</f>
        <v>6200000</v>
      </c>
      <c r="H554" s="950">
        <f t="shared" si="21"/>
        <v>3200000</v>
      </c>
      <c r="I554" s="950">
        <f>'Pl 2016-20 PFC'!H555</f>
        <v>0</v>
      </c>
      <c r="J554" s="950">
        <f>'Pl 2016-20 PFC'!I555</f>
        <v>6200000</v>
      </c>
      <c r="K554" s="950" t="e">
        <f>'Pl 2016-20 PFC'!#REF!</f>
        <v>#REF!</v>
      </c>
      <c r="L554" s="844"/>
      <c r="M554" s="347"/>
      <c r="N554" s="347"/>
      <c r="O554" s="347"/>
      <c r="P554" s="347"/>
      <c r="Q554" s="347"/>
      <c r="R554" s="347"/>
      <c r="S554" s="347"/>
      <c r="T554" s="347"/>
      <c r="U554" s="347"/>
      <c r="V554" s="347"/>
      <c r="W554" s="347"/>
      <c r="X554" s="347"/>
      <c r="Y554" s="347"/>
      <c r="Z554" s="347"/>
      <c r="AA554" s="347"/>
      <c r="AB554" s="347"/>
      <c r="AC554" s="347"/>
      <c r="AD554" s="347"/>
      <c r="AE554" s="347"/>
      <c r="AF554" s="347"/>
      <c r="AG554" s="347"/>
      <c r="AH554" s="347"/>
      <c r="AI554" s="347"/>
      <c r="AJ554" s="347"/>
      <c r="AK554" s="347"/>
      <c r="AL554" s="347"/>
      <c r="AM554" s="347"/>
      <c r="AN554" s="347"/>
      <c r="AO554" s="347"/>
    </row>
    <row r="555" spans="1:41" s="397" customFormat="1" hidden="1">
      <c r="A555" s="779"/>
      <c r="B555" s="1214" t="s">
        <v>420</v>
      </c>
      <c r="C555" s="1215" t="s">
        <v>487</v>
      </c>
      <c r="D555" s="394" t="str">
        <f t="shared" ref="D555:K556" si="22">"$'Pl 2014-17 PFC'.$#ODWOŁANIE$#ODWOŁANIE"</f>
        <v>$'Pl 2014-17 PFC'.$#ODWOŁANIE$#ODWOŁANIE</v>
      </c>
      <c r="E555" s="950" t="str">
        <f t="shared" si="22"/>
        <v>$'Pl 2014-17 PFC'.$#ODWOŁANIE$#ODWOŁANIE</v>
      </c>
      <c r="F555" s="950" t="str">
        <f t="shared" si="22"/>
        <v>$'Pl 2014-17 PFC'.$#ODWOŁANIE$#ODWOŁANIE</v>
      </c>
      <c r="G555" s="950"/>
      <c r="H555" s="950" t="e">
        <f t="shared" si="21"/>
        <v>#VALUE!</v>
      </c>
      <c r="I555" s="950" t="str">
        <f t="shared" si="22"/>
        <v>$'Pl 2014-17 PFC'.$#ODWOŁANIE$#ODWOŁANIE</v>
      </c>
      <c r="J555" s="950" t="str">
        <f t="shared" si="22"/>
        <v>$'Pl 2014-17 PFC'.$#ODWOŁANIE$#ODWOŁANIE</v>
      </c>
      <c r="K555" s="950" t="str">
        <f t="shared" si="22"/>
        <v>$'Pl 2014-17 PFC'.$#ODWOŁANIE$#ODWOŁANIE</v>
      </c>
      <c r="L555" s="844"/>
      <c r="M555" s="347"/>
      <c r="N555" s="347"/>
      <c r="O555" s="347"/>
      <c r="P555" s="347"/>
      <c r="Q555" s="347"/>
      <c r="R555" s="347"/>
      <c r="S555" s="347"/>
      <c r="T555" s="347"/>
      <c r="U555" s="347"/>
      <c r="V555" s="347"/>
      <c r="W555" s="347"/>
      <c r="X555" s="347"/>
      <c r="Y555" s="347"/>
      <c r="Z555" s="347"/>
      <c r="AA555" s="347"/>
      <c r="AB555" s="347"/>
      <c r="AC555" s="347"/>
      <c r="AD555" s="347"/>
      <c r="AE555" s="347"/>
      <c r="AF555" s="347"/>
      <c r="AG555" s="347"/>
      <c r="AH555" s="347"/>
      <c r="AI555" s="347"/>
      <c r="AJ555" s="347"/>
      <c r="AK555" s="347"/>
      <c r="AL555" s="347"/>
      <c r="AM555" s="347"/>
      <c r="AN555" s="347"/>
      <c r="AO555" s="347"/>
    </row>
    <row r="556" spans="1:41" s="397" customFormat="1" hidden="1">
      <c r="A556" s="779"/>
      <c r="B556" s="1214" t="s">
        <v>486</v>
      </c>
      <c r="C556" s="1215" t="s">
        <v>487</v>
      </c>
      <c r="D556" s="394" t="str">
        <f t="shared" si="22"/>
        <v>$'Pl 2014-17 PFC'.$#ODWOŁANIE$#ODWOŁANIE</v>
      </c>
      <c r="E556" s="950" t="str">
        <f t="shared" si="22"/>
        <v>$'Pl 2014-17 PFC'.$#ODWOŁANIE$#ODWOŁANIE</v>
      </c>
      <c r="F556" s="950" t="str">
        <f t="shared" si="22"/>
        <v>$'Pl 2014-17 PFC'.$#ODWOŁANIE$#ODWOŁANIE</v>
      </c>
      <c r="G556" s="950"/>
      <c r="H556" s="950" t="e">
        <f t="shared" si="21"/>
        <v>#VALUE!</v>
      </c>
      <c r="I556" s="950" t="str">
        <f t="shared" si="22"/>
        <v>$'Pl 2014-17 PFC'.$#ODWOŁANIE$#ODWOŁANIE</v>
      </c>
      <c r="J556" s="950" t="str">
        <f t="shared" si="22"/>
        <v>$'Pl 2014-17 PFC'.$#ODWOŁANIE$#ODWOŁANIE</v>
      </c>
      <c r="K556" s="950" t="str">
        <f t="shared" si="22"/>
        <v>$'Pl 2014-17 PFC'.$#ODWOŁANIE$#ODWOŁANIE</v>
      </c>
      <c r="L556" s="844"/>
      <c r="M556" s="347"/>
      <c r="N556" s="347"/>
      <c r="O556" s="347"/>
      <c r="P556" s="347"/>
      <c r="Q556" s="347"/>
      <c r="R556" s="347"/>
      <c r="S556" s="347"/>
      <c r="T556" s="347"/>
      <c r="U556" s="347"/>
      <c r="V556" s="347"/>
      <c r="W556" s="347"/>
      <c r="X556" s="347"/>
      <c r="Y556" s="347"/>
      <c r="Z556" s="347"/>
      <c r="AA556" s="347"/>
      <c r="AB556" s="347"/>
      <c r="AC556" s="347"/>
      <c r="AD556" s="347"/>
      <c r="AE556" s="347"/>
      <c r="AF556" s="347"/>
      <c r="AG556" s="347"/>
      <c r="AH556" s="347"/>
      <c r="AI556" s="347"/>
      <c r="AJ556" s="347"/>
      <c r="AK556" s="347"/>
      <c r="AL556" s="347"/>
      <c r="AM556" s="347"/>
      <c r="AN556" s="347"/>
      <c r="AO556" s="347"/>
    </row>
    <row r="557" spans="1:41" s="397" customFormat="1" hidden="1">
      <c r="A557" s="779"/>
      <c r="B557" s="1214" t="s">
        <v>371</v>
      </c>
      <c r="C557" s="1215" t="s">
        <v>278</v>
      </c>
      <c r="D557" s="394">
        <f>'Pl 2016-20 PFC'!D556</f>
        <v>680000</v>
      </c>
      <c r="E557" s="950">
        <f>'Pl 2016-20 PFC'!E556</f>
        <v>680000</v>
      </c>
      <c r="F557" s="950">
        <f>'Pl 2016-20 PFC'!F556</f>
        <v>2400000</v>
      </c>
      <c r="G557" s="950">
        <f>'Pl 2016-20 PFC'!G556</f>
        <v>1400000</v>
      </c>
      <c r="H557" s="950">
        <f t="shared" si="21"/>
        <v>1000000</v>
      </c>
      <c r="I557" s="950">
        <f>'Pl 2016-20 PFC'!H556</f>
        <v>0</v>
      </c>
      <c r="J557" s="950">
        <f>'Pl 2016-20 PFC'!I556</f>
        <v>1400000</v>
      </c>
      <c r="K557" s="950" t="e">
        <f>'Pl 2016-20 PFC'!#REF!</f>
        <v>#REF!</v>
      </c>
      <c r="L557" s="844"/>
      <c r="M557" s="347"/>
      <c r="N557" s="347"/>
      <c r="O557" s="347"/>
      <c r="P557" s="347"/>
      <c r="Q557" s="347"/>
      <c r="R557" s="347"/>
      <c r="S557" s="347"/>
      <c r="T557" s="347"/>
      <c r="U557" s="347"/>
      <c r="V557" s="347"/>
      <c r="W557" s="347"/>
      <c r="X557" s="347"/>
      <c r="Y557" s="347"/>
      <c r="Z557" s="347"/>
      <c r="AA557" s="347"/>
      <c r="AB557" s="347"/>
      <c r="AC557" s="347"/>
      <c r="AD557" s="347"/>
      <c r="AE557" s="347"/>
      <c r="AF557" s="347"/>
      <c r="AG557" s="347"/>
      <c r="AH557" s="347"/>
      <c r="AI557" s="347"/>
      <c r="AJ557" s="347"/>
      <c r="AK557" s="347"/>
      <c r="AL557" s="347"/>
      <c r="AM557" s="347"/>
      <c r="AN557" s="347"/>
      <c r="AO557" s="347"/>
    </row>
    <row r="558" spans="1:41" s="397" customFormat="1" hidden="1">
      <c r="A558" s="779"/>
      <c r="B558" s="1214" t="s">
        <v>430</v>
      </c>
      <c r="C558" s="1215" t="s">
        <v>283</v>
      </c>
      <c r="D558" s="394">
        <f>'Pl 2016-20 PFC'!D557</f>
        <v>0</v>
      </c>
      <c r="E558" s="950">
        <f>'Pl 2016-20 PFC'!E557</f>
        <v>0</v>
      </c>
      <c r="F558" s="950">
        <f>'Pl 2016-20 PFC'!F557</f>
        <v>0</v>
      </c>
      <c r="G558" s="950">
        <f>'Pl 2016-20 PFC'!G557</f>
        <v>0</v>
      </c>
      <c r="H558" s="950">
        <f t="shared" si="21"/>
        <v>0</v>
      </c>
      <c r="I558" s="950">
        <f>'Pl 2016-20 PFC'!H557</f>
        <v>0</v>
      </c>
      <c r="J558" s="950">
        <f>'Pl 2016-20 PFC'!I557</f>
        <v>0</v>
      </c>
      <c r="K558" s="950" t="e">
        <f>'Pl 2016-20 PFC'!#REF!</f>
        <v>#REF!</v>
      </c>
      <c r="L558" s="844"/>
      <c r="M558" s="347"/>
      <c r="N558" s="347"/>
      <c r="O558" s="347"/>
      <c r="P558" s="347"/>
      <c r="Q558" s="347"/>
      <c r="R558" s="347"/>
      <c r="S558" s="347"/>
      <c r="T558" s="347"/>
      <c r="U558" s="347"/>
      <c r="V558" s="347"/>
      <c r="W558" s="347"/>
      <c r="X558" s="347"/>
      <c r="Y558" s="347"/>
      <c r="Z558" s="347"/>
      <c r="AA558" s="347"/>
      <c r="AB558" s="347"/>
      <c r="AC558" s="347"/>
      <c r="AD558" s="347"/>
      <c r="AE558" s="347"/>
      <c r="AF558" s="347"/>
      <c r="AG558" s="347"/>
      <c r="AH558" s="347"/>
      <c r="AI558" s="347"/>
      <c r="AJ558" s="347"/>
      <c r="AK558" s="347"/>
      <c r="AL558" s="347"/>
      <c r="AM558" s="347"/>
      <c r="AN558" s="347"/>
      <c r="AO558" s="347"/>
    </row>
    <row r="559" spans="1:41" s="397" customFormat="1" ht="31.2" hidden="1">
      <c r="A559" s="779"/>
      <c r="B559" s="1214" t="s">
        <v>433</v>
      </c>
      <c r="C559" s="1215" t="s">
        <v>283</v>
      </c>
      <c r="D559" s="394">
        <f>'Pl 2016-20 PFC'!D558</f>
        <v>2000000</v>
      </c>
      <c r="E559" s="950">
        <f>'Pl 2016-20 PFC'!E558</f>
        <v>2000000</v>
      </c>
      <c r="F559" s="950">
        <f>'Pl 2016-20 PFC'!F558</f>
        <v>5000000</v>
      </c>
      <c r="G559" s="950">
        <f>'Pl 2016-20 PFC'!G558</f>
        <v>3500000</v>
      </c>
      <c r="H559" s="950">
        <f t="shared" si="21"/>
        <v>1500000</v>
      </c>
      <c r="I559" s="950">
        <f>'Pl 2016-20 PFC'!H558</f>
        <v>0</v>
      </c>
      <c r="J559" s="950">
        <f>'Pl 2016-20 PFC'!I558</f>
        <v>3500000</v>
      </c>
      <c r="K559" s="950" t="e">
        <f>'Pl 2016-20 PFC'!#REF!</f>
        <v>#REF!</v>
      </c>
      <c r="L559" s="844"/>
      <c r="M559" s="347"/>
      <c r="N559" s="347"/>
      <c r="O559" s="347"/>
      <c r="P559" s="347"/>
      <c r="Q559" s="347"/>
      <c r="R559" s="347"/>
      <c r="S559" s="347"/>
      <c r="T559" s="347"/>
      <c r="U559" s="347"/>
      <c r="V559" s="347"/>
      <c r="W559" s="347"/>
      <c r="X559" s="347"/>
      <c r="Y559" s="347"/>
      <c r="Z559" s="347"/>
      <c r="AA559" s="347"/>
      <c r="AB559" s="347"/>
      <c r="AC559" s="347"/>
      <c r="AD559" s="347"/>
      <c r="AE559" s="347"/>
      <c r="AF559" s="347"/>
      <c r="AG559" s="347"/>
      <c r="AH559" s="347"/>
      <c r="AI559" s="347"/>
      <c r="AJ559" s="347"/>
      <c r="AK559" s="347"/>
      <c r="AL559" s="347"/>
      <c r="AM559" s="347"/>
      <c r="AN559" s="347"/>
      <c r="AO559" s="347"/>
    </row>
    <row r="560" spans="1:41" s="397" customFormat="1" hidden="1">
      <c r="A560" s="779"/>
      <c r="B560" s="1214" t="s">
        <v>384</v>
      </c>
      <c r="C560" s="1215" t="s">
        <v>283</v>
      </c>
      <c r="D560" s="394">
        <f>'Pl 2016-20 PFC'!D559</f>
        <v>1200000</v>
      </c>
      <c r="E560" s="950">
        <f>'Pl 2016-20 PFC'!E559</f>
        <v>1200000</v>
      </c>
      <c r="F560" s="950">
        <f>'Pl 2016-20 PFC'!F559</f>
        <v>2000000</v>
      </c>
      <c r="G560" s="950">
        <f>'Pl 2016-20 PFC'!G559</f>
        <v>1300000</v>
      </c>
      <c r="H560" s="950">
        <f t="shared" si="21"/>
        <v>700000</v>
      </c>
      <c r="I560" s="950">
        <f>'Pl 2016-20 PFC'!H559</f>
        <v>0</v>
      </c>
      <c r="J560" s="950">
        <f>'Pl 2016-20 PFC'!I559</f>
        <v>1300000</v>
      </c>
      <c r="K560" s="950" t="e">
        <f>'Pl 2016-20 PFC'!#REF!</f>
        <v>#REF!</v>
      </c>
      <c r="L560" s="844"/>
      <c r="M560" s="347"/>
      <c r="N560" s="347"/>
      <c r="O560" s="347"/>
      <c r="P560" s="347"/>
      <c r="Q560" s="347"/>
      <c r="R560" s="347"/>
      <c r="S560" s="347"/>
      <c r="T560" s="347"/>
      <c r="U560" s="347"/>
      <c r="V560" s="347"/>
      <c r="W560" s="347"/>
      <c r="X560" s="347"/>
      <c r="Y560" s="347"/>
      <c r="Z560" s="347"/>
      <c r="AA560" s="347"/>
      <c r="AB560" s="347"/>
      <c r="AC560" s="347"/>
      <c r="AD560" s="347"/>
      <c r="AE560" s="347"/>
      <c r="AF560" s="347"/>
      <c r="AG560" s="347"/>
      <c r="AH560" s="347"/>
      <c r="AI560" s="347"/>
      <c r="AJ560" s="347"/>
      <c r="AK560" s="347"/>
      <c r="AL560" s="347"/>
      <c r="AM560" s="347"/>
      <c r="AN560" s="347"/>
      <c r="AO560" s="347"/>
    </row>
    <row r="561" spans="1:41" s="397" customFormat="1" ht="31.2" hidden="1">
      <c r="A561" s="779"/>
      <c r="B561" s="1214" t="s">
        <v>431</v>
      </c>
      <c r="C561" s="1215" t="s">
        <v>283</v>
      </c>
      <c r="D561" s="394">
        <f>'Pl 2016-20 PFC'!D560</f>
        <v>500000</v>
      </c>
      <c r="E561" s="950">
        <f>'Pl 2016-20 PFC'!E560</f>
        <v>500000</v>
      </c>
      <c r="F561" s="950">
        <f>'Pl 2016-20 PFC'!F560</f>
        <v>0</v>
      </c>
      <c r="G561" s="950">
        <f>'Pl 2016-20 PFC'!G560</f>
        <v>0</v>
      </c>
      <c r="H561" s="950">
        <f t="shared" si="21"/>
        <v>0</v>
      </c>
      <c r="I561" s="950">
        <f>'Pl 2016-20 PFC'!H560</f>
        <v>0</v>
      </c>
      <c r="J561" s="950">
        <f>'Pl 2016-20 PFC'!I560</f>
        <v>0</v>
      </c>
      <c r="K561" s="950" t="e">
        <f>'Pl 2016-20 PFC'!#REF!</f>
        <v>#REF!</v>
      </c>
      <c r="L561" s="844"/>
      <c r="M561" s="347"/>
      <c r="N561" s="347"/>
      <c r="O561" s="347"/>
      <c r="P561" s="347"/>
      <c r="Q561" s="347"/>
      <c r="R561" s="347"/>
      <c r="S561" s="347"/>
      <c r="T561" s="347"/>
      <c r="U561" s="347"/>
      <c r="V561" s="347"/>
      <c r="W561" s="347"/>
      <c r="X561" s="347"/>
      <c r="Y561" s="347"/>
      <c r="Z561" s="347"/>
      <c r="AA561" s="347"/>
      <c r="AB561" s="347"/>
      <c r="AC561" s="347"/>
      <c r="AD561" s="347"/>
      <c r="AE561" s="347"/>
      <c r="AF561" s="347"/>
      <c r="AG561" s="347"/>
      <c r="AH561" s="347"/>
      <c r="AI561" s="347"/>
      <c r="AJ561" s="347"/>
      <c r="AK561" s="347"/>
      <c r="AL561" s="347"/>
      <c r="AM561" s="347"/>
      <c r="AN561" s="347"/>
      <c r="AO561" s="347"/>
    </row>
    <row r="562" spans="1:41" s="397" customFormat="1" hidden="1">
      <c r="A562" s="779"/>
      <c r="B562" s="1214" t="s">
        <v>155</v>
      </c>
      <c r="C562" s="1215"/>
      <c r="D562" s="394">
        <f>'Pl 2016-20 PFC'!D561</f>
        <v>0</v>
      </c>
      <c r="E562" s="950">
        <f>'Pl 2016-20 PFC'!E561</f>
        <v>0</v>
      </c>
      <c r="F562" s="950">
        <f>'Pl 2016-20 PFC'!F561</f>
        <v>0</v>
      </c>
      <c r="G562" s="950">
        <f>'Pl 2016-20 PFC'!G561</f>
        <v>0</v>
      </c>
      <c r="H562" s="950">
        <f t="shared" si="21"/>
        <v>0</v>
      </c>
      <c r="I562" s="950">
        <f>'Pl 2016-20 PFC'!H561</f>
        <v>0</v>
      </c>
      <c r="J562" s="950">
        <f>'Pl 2016-20 PFC'!I561</f>
        <v>0</v>
      </c>
      <c r="K562" s="950" t="e">
        <f>'Pl 2016-20 PFC'!#REF!</f>
        <v>#REF!</v>
      </c>
      <c r="L562" s="844"/>
      <c r="M562" s="347"/>
      <c r="N562" s="347"/>
      <c r="O562" s="347"/>
      <c r="P562" s="347"/>
      <c r="Q562" s="347"/>
      <c r="R562" s="347"/>
      <c r="S562" s="347"/>
      <c r="T562" s="347"/>
      <c r="U562" s="347"/>
      <c r="V562" s="347"/>
      <c r="W562" s="347"/>
      <c r="X562" s="347"/>
      <c r="Y562" s="347"/>
      <c r="Z562" s="347"/>
      <c r="AA562" s="347"/>
      <c r="AB562" s="347"/>
      <c r="AC562" s="347"/>
      <c r="AD562" s="347"/>
      <c r="AE562" s="347"/>
      <c r="AF562" s="347"/>
      <c r="AG562" s="347"/>
      <c r="AH562" s="347"/>
      <c r="AI562" s="347"/>
      <c r="AJ562" s="347"/>
      <c r="AK562" s="347"/>
      <c r="AL562" s="347"/>
      <c r="AM562" s="347"/>
      <c r="AN562" s="347"/>
      <c r="AO562" s="347"/>
    </row>
    <row r="563" spans="1:41" s="397" customFormat="1" hidden="1">
      <c r="A563" s="779"/>
      <c r="B563" s="1214" t="s">
        <v>279</v>
      </c>
      <c r="C563" s="1215"/>
      <c r="D563" s="394">
        <f>'Pl 2016-20 PFC'!D562</f>
        <v>0</v>
      </c>
      <c r="E563" s="950">
        <f>'Pl 2016-20 PFC'!E562</f>
        <v>0</v>
      </c>
      <c r="F563" s="950">
        <f>'Pl 2016-20 PFC'!F562</f>
        <v>0</v>
      </c>
      <c r="G563" s="950">
        <f>'Pl 2016-20 PFC'!G562</f>
        <v>0</v>
      </c>
      <c r="H563" s="950">
        <f t="shared" si="21"/>
        <v>0</v>
      </c>
      <c r="I563" s="950">
        <f>'Pl 2016-20 PFC'!H562</f>
        <v>0</v>
      </c>
      <c r="J563" s="950">
        <f>'Pl 2016-20 PFC'!I562</f>
        <v>0</v>
      </c>
      <c r="K563" s="950" t="e">
        <f>'Pl 2016-20 PFC'!#REF!</f>
        <v>#REF!</v>
      </c>
      <c r="L563" s="844"/>
      <c r="M563" s="347"/>
      <c r="N563" s="347"/>
      <c r="O563" s="347"/>
      <c r="P563" s="347"/>
      <c r="Q563" s="347"/>
      <c r="R563" s="347"/>
      <c r="S563" s="347"/>
      <c r="T563" s="347"/>
      <c r="U563" s="347"/>
      <c r="V563" s="347"/>
      <c r="W563" s="347"/>
      <c r="X563" s="347"/>
      <c r="Y563" s="347"/>
      <c r="Z563" s="347"/>
      <c r="AA563" s="347"/>
      <c r="AB563" s="347"/>
      <c r="AC563" s="347"/>
      <c r="AD563" s="347"/>
      <c r="AE563" s="347"/>
      <c r="AF563" s="347"/>
      <c r="AG563" s="347"/>
      <c r="AH563" s="347"/>
      <c r="AI563" s="347"/>
      <c r="AJ563" s="347"/>
      <c r="AK563" s="347"/>
      <c r="AL563" s="347"/>
      <c r="AM563" s="347"/>
      <c r="AN563" s="347"/>
      <c r="AO563" s="347"/>
    </row>
    <row r="564" spans="1:41" s="397" customFormat="1" hidden="1">
      <c r="A564" s="779"/>
      <c r="B564" s="1214" t="s">
        <v>157</v>
      </c>
      <c r="C564" s="1215"/>
      <c r="D564" s="394">
        <f>'Pl 2016-20 PFC'!D563</f>
        <v>0</v>
      </c>
      <c r="E564" s="950">
        <f>'Pl 2016-20 PFC'!E563</f>
        <v>0</v>
      </c>
      <c r="F564" s="950">
        <f>'Pl 2016-20 PFC'!F563</f>
        <v>0</v>
      </c>
      <c r="G564" s="950">
        <f>'Pl 2016-20 PFC'!G563</f>
        <v>0</v>
      </c>
      <c r="H564" s="950">
        <f t="shared" si="21"/>
        <v>0</v>
      </c>
      <c r="I564" s="950">
        <f>'Pl 2016-20 PFC'!H563</f>
        <v>0</v>
      </c>
      <c r="J564" s="950">
        <f>'Pl 2016-20 PFC'!I563</f>
        <v>0</v>
      </c>
      <c r="K564" s="950" t="e">
        <f>'Pl 2016-20 PFC'!#REF!</f>
        <v>#REF!</v>
      </c>
      <c r="L564" s="844"/>
      <c r="M564" s="347"/>
      <c r="N564" s="347"/>
      <c r="O564" s="347"/>
      <c r="P564" s="347"/>
      <c r="Q564" s="347"/>
      <c r="R564" s="347"/>
      <c r="S564" s="347"/>
      <c r="T564" s="347"/>
      <c r="U564" s="347"/>
      <c r="V564" s="347"/>
      <c r="W564" s="347"/>
      <c r="X564" s="347"/>
      <c r="Y564" s="347"/>
      <c r="Z564" s="347"/>
      <c r="AA564" s="347"/>
      <c r="AB564" s="347"/>
      <c r="AC564" s="347"/>
      <c r="AD564" s="347"/>
      <c r="AE564" s="347"/>
      <c r="AF564" s="347"/>
      <c r="AG564" s="347"/>
      <c r="AH564" s="347"/>
      <c r="AI564" s="347"/>
      <c r="AJ564" s="347"/>
      <c r="AK564" s="347"/>
      <c r="AL564" s="347"/>
      <c r="AM564" s="347"/>
      <c r="AN564" s="347"/>
      <c r="AO564" s="347"/>
    </row>
    <row r="565" spans="1:41" s="397" customFormat="1" hidden="1">
      <c r="A565" s="779"/>
      <c r="B565" s="1214" t="s">
        <v>159</v>
      </c>
      <c r="C565" s="1215"/>
      <c r="D565" s="394">
        <f>'Pl 2016-20 PFC'!D564</f>
        <v>0</v>
      </c>
      <c r="E565" s="950">
        <f>'Pl 2016-20 PFC'!E564</f>
        <v>0</v>
      </c>
      <c r="F565" s="950">
        <f>'Pl 2016-20 PFC'!F564</f>
        <v>0</v>
      </c>
      <c r="G565" s="950">
        <f>'Pl 2016-20 PFC'!G564</f>
        <v>0</v>
      </c>
      <c r="H565" s="950">
        <f t="shared" si="21"/>
        <v>0</v>
      </c>
      <c r="I565" s="950">
        <f>'Pl 2016-20 PFC'!H564</f>
        <v>0</v>
      </c>
      <c r="J565" s="950">
        <f>'Pl 2016-20 PFC'!I564</f>
        <v>0</v>
      </c>
      <c r="K565" s="950" t="e">
        <f>'Pl 2016-20 PFC'!#REF!</f>
        <v>#REF!</v>
      </c>
      <c r="L565" s="844"/>
      <c r="M565" s="347"/>
      <c r="N565" s="347"/>
      <c r="O565" s="347"/>
      <c r="P565" s="347"/>
      <c r="Q565" s="347"/>
      <c r="R565" s="347"/>
      <c r="S565" s="347"/>
      <c r="T565" s="347"/>
      <c r="U565" s="347"/>
      <c r="V565" s="347"/>
      <c r="W565" s="347"/>
      <c r="X565" s="347"/>
      <c r="Y565" s="347"/>
      <c r="Z565" s="347"/>
      <c r="AA565" s="347"/>
      <c r="AB565" s="347"/>
      <c r="AC565" s="347"/>
      <c r="AD565" s="347"/>
      <c r="AE565" s="347"/>
      <c r="AF565" s="347"/>
      <c r="AG565" s="347"/>
      <c r="AH565" s="347"/>
      <c r="AI565" s="347"/>
      <c r="AJ565" s="347"/>
      <c r="AK565" s="347"/>
      <c r="AL565" s="347"/>
      <c r="AM565" s="347"/>
      <c r="AN565" s="347"/>
      <c r="AO565" s="347"/>
    </row>
    <row r="566" spans="1:41" s="397" customFormat="1" hidden="1">
      <c r="A566" s="779"/>
      <c r="B566" s="1214" t="s">
        <v>158</v>
      </c>
      <c r="C566" s="1215"/>
      <c r="D566" s="394">
        <f>'Pl 2016-20 PFC'!D565</f>
        <v>0</v>
      </c>
      <c r="E566" s="950">
        <f>'Pl 2016-20 PFC'!E565</f>
        <v>0</v>
      </c>
      <c r="F566" s="950">
        <f>'Pl 2016-20 PFC'!F565</f>
        <v>0</v>
      </c>
      <c r="G566" s="950">
        <f>'Pl 2016-20 PFC'!G565</f>
        <v>0</v>
      </c>
      <c r="H566" s="950">
        <f t="shared" si="21"/>
        <v>0</v>
      </c>
      <c r="I566" s="950">
        <f>'Pl 2016-20 PFC'!H565</f>
        <v>0</v>
      </c>
      <c r="J566" s="950">
        <f>'Pl 2016-20 PFC'!I565</f>
        <v>0</v>
      </c>
      <c r="K566" s="950" t="e">
        <f>'Pl 2016-20 PFC'!#REF!</f>
        <v>#REF!</v>
      </c>
      <c r="L566" s="844"/>
      <c r="M566" s="347"/>
      <c r="N566" s="347"/>
      <c r="O566" s="347"/>
      <c r="P566" s="347"/>
      <c r="Q566" s="347"/>
      <c r="R566" s="347"/>
      <c r="S566" s="347"/>
      <c r="T566" s="347"/>
      <c r="U566" s="347"/>
      <c r="V566" s="347"/>
      <c r="W566" s="347"/>
      <c r="X566" s="347"/>
      <c r="Y566" s="347"/>
      <c r="Z566" s="347"/>
      <c r="AA566" s="347"/>
      <c r="AB566" s="347"/>
      <c r="AC566" s="347"/>
      <c r="AD566" s="347"/>
      <c r="AE566" s="347"/>
      <c r="AF566" s="347"/>
      <c r="AG566" s="347"/>
      <c r="AH566" s="347"/>
      <c r="AI566" s="347"/>
      <c r="AJ566" s="347"/>
      <c r="AK566" s="347"/>
      <c r="AL566" s="347"/>
      <c r="AM566" s="347"/>
      <c r="AN566" s="347"/>
      <c r="AO566" s="347"/>
    </row>
    <row r="567" spans="1:41" s="397" customFormat="1" hidden="1">
      <c r="A567" s="779"/>
      <c r="B567" s="1214" t="s">
        <v>178</v>
      </c>
      <c r="C567" s="1215"/>
      <c r="D567" s="394">
        <f>'Pl 2016-20 PFC'!D566</f>
        <v>0</v>
      </c>
      <c r="E567" s="950">
        <f>'Pl 2016-20 PFC'!E566</f>
        <v>0</v>
      </c>
      <c r="F567" s="950">
        <f>'Pl 2016-20 PFC'!F566</f>
        <v>0</v>
      </c>
      <c r="G567" s="950">
        <f>'Pl 2016-20 PFC'!G566</f>
        <v>0</v>
      </c>
      <c r="H567" s="950">
        <f t="shared" si="21"/>
        <v>0</v>
      </c>
      <c r="I567" s="950">
        <f>'Pl 2016-20 PFC'!H566</f>
        <v>0</v>
      </c>
      <c r="J567" s="950">
        <f>'Pl 2016-20 PFC'!I566</f>
        <v>0</v>
      </c>
      <c r="K567" s="950" t="e">
        <f>'Pl 2016-20 PFC'!#REF!</f>
        <v>#REF!</v>
      </c>
      <c r="L567" s="844"/>
      <c r="M567" s="347"/>
      <c r="N567" s="347"/>
      <c r="O567" s="347"/>
      <c r="P567" s="347"/>
      <c r="Q567" s="347"/>
      <c r="R567" s="347"/>
      <c r="S567" s="347"/>
      <c r="T567" s="347"/>
      <c r="U567" s="347"/>
      <c r="V567" s="347"/>
      <c r="W567" s="347"/>
      <c r="X567" s="347"/>
      <c r="Y567" s="347"/>
      <c r="Z567" s="347"/>
      <c r="AA567" s="347"/>
      <c r="AB567" s="347"/>
      <c r="AC567" s="347"/>
      <c r="AD567" s="347"/>
      <c r="AE567" s="347"/>
      <c r="AF567" s="347"/>
      <c r="AG567" s="347"/>
      <c r="AH567" s="347"/>
      <c r="AI567" s="347"/>
      <c r="AJ567" s="347"/>
      <c r="AK567" s="347"/>
      <c r="AL567" s="347"/>
      <c r="AM567" s="347"/>
      <c r="AN567" s="347"/>
      <c r="AO567" s="347"/>
    </row>
    <row r="568" spans="1:41" s="397" customFormat="1" hidden="1">
      <c r="A568" s="779"/>
      <c r="B568" s="1214" t="s">
        <v>163</v>
      </c>
      <c r="C568" s="1215"/>
      <c r="D568" s="394">
        <f>'Pl 2016-20 PFC'!D567</f>
        <v>0</v>
      </c>
      <c r="E568" s="950">
        <f>'Pl 2016-20 PFC'!E567</f>
        <v>0</v>
      </c>
      <c r="F568" s="950">
        <f>'Pl 2016-20 PFC'!F567</f>
        <v>0</v>
      </c>
      <c r="G568" s="950">
        <f>'Pl 2016-20 PFC'!G567</f>
        <v>0</v>
      </c>
      <c r="H568" s="950">
        <f t="shared" si="21"/>
        <v>0</v>
      </c>
      <c r="I568" s="950">
        <f>'Pl 2016-20 PFC'!H567</f>
        <v>0</v>
      </c>
      <c r="J568" s="950">
        <f>'Pl 2016-20 PFC'!I567</f>
        <v>0</v>
      </c>
      <c r="K568" s="950" t="e">
        <f>'Pl 2016-20 PFC'!#REF!</f>
        <v>#REF!</v>
      </c>
      <c r="L568" s="844"/>
      <c r="M568" s="347"/>
      <c r="N568" s="347"/>
      <c r="O568" s="347"/>
      <c r="P568" s="347"/>
      <c r="Q568" s="347"/>
      <c r="R568" s="347"/>
      <c r="S568" s="347"/>
      <c r="T568" s="347"/>
      <c r="U568" s="347"/>
      <c r="V568" s="347"/>
      <c r="W568" s="347"/>
      <c r="X568" s="347"/>
      <c r="Y568" s="347"/>
      <c r="Z568" s="347"/>
      <c r="AA568" s="347"/>
      <c r="AB568" s="347"/>
      <c r="AC568" s="347"/>
      <c r="AD568" s="347"/>
      <c r="AE568" s="347"/>
      <c r="AF568" s="347"/>
      <c r="AG568" s="347"/>
      <c r="AH568" s="347"/>
      <c r="AI568" s="347"/>
      <c r="AJ568" s="347"/>
      <c r="AK568" s="347"/>
      <c r="AL568" s="347"/>
      <c r="AM568" s="347"/>
      <c r="AN568" s="347"/>
      <c r="AO568" s="347"/>
    </row>
    <row r="569" spans="1:41" s="397" customFormat="1" hidden="1">
      <c r="A569" s="779"/>
      <c r="B569" s="1214" t="s">
        <v>434</v>
      </c>
      <c r="C569" s="1215"/>
      <c r="D569" s="394">
        <f>'Pl 2016-20 PFC'!D568</f>
        <v>0</v>
      </c>
      <c r="E569" s="950">
        <f>'Pl 2016-20 PFC'!E568</f>
        <v>0</v>
      </c>
      <c r="F569" s="950">
        <f>'Pl 2016-20 PFC'!F568</f>
        <v>0</v>
      </c>
      <c r="G569" s="950">
        <f>'Pl 2016-20 PFC'!G568</f>
        <v>0</v>
      </c>
      <c r="H569" s="950">
        <f t="shared" si="21"/>
        <v>0</v>
      </c>
      <c r="I569" s="950">
        <f>'Pl 2016-20 PFC'!H568</f>
        <v>0</v>
      </c>
      <c r="J569" s="950">
        <f>'Pl 2016-20 PFC'!I568</f>
        <v>0</v>
      </c>
      <c r="K569" s="950" t="e">
        <f>'Pl 2016-20 PFC'!#REF!</f>
        <v>#REF!</v>
      </c>
      <c r="L569" s="844"/>
      <c r="M569" s="347"/>
      <c r="N569" s="347"/>
      <c r="O569" s="347"/>
      <c r="P569" s="347"/>
      <c r="Q569" s="347"/>
      <c r="R569" s="347"/>
      <c r="S569" s="347"/>
      <c r="T569" s="347"/>
      <c r="U569" s="347"/>
      <c r="V569" s="347"/>
      <c r="W569" s="347"/>
      <c r="X569" s="347"/>
      <c r="Y569" s="347"/>
      <c r="Z569" s="347"/>
      <c r="AA569" s="347"/>
      <c r="AB569" s="347"/>
      <c r="AC569" s="347"/>
      <c r="AD569" s="347"/>
      <c r="AE569" s="347"/>
      <c r="AF569" s="347"/>
      <c r="AG569" s="347"/>
      <c r="AH569" s="347"/>
      <c r="AI569" s="347"/>
      <c r="AJ569" s="347"/>
      <c r="AK569" s="347"/>
      <c r="AL569" s="347"/>
      <c r="AM569" s="347"/>
      <c r="AN569" s="347"/>
      <c r="AO569" s="347"/>
    </row>
    <row r="570" spans="1:41" s="397" customFormat="1" hidden="1">
      <c r="A570" s="779"/>
      <c r="B570" s="1214" t="s">
        <v>167</v>
      </c>
      <c r="C570" s="1215"/>
      <c r="D570" s="394">
        <f>'Pl 2016-20 PFC'!D569</f>
        <v>0</v>
      </c>
      <c r="E570" s="950">
        <f>'Pl 2016-20 PFC'!E569</f>
        <v>0</v>
      </c>
      <c r="F570" s="950">
        <f>'Pl 2016-20 PFC'!F569</f>
        <v>0</v>
      </c>
      <c r="G570" s="950">
        <f>'Pl 2016-20 PFC'!G569</f>
        <v>0</v>
      </c>
      <c r="H570" s="950">
        <f t="shared" si="21"/>
        <v>0</v>
      </c>
      <c r="I570" s="950">
        <f>'Pl 2016-20 PFC'!H569</f>
        <v>0</v>
      </c>
      <c r="J570" s="950">
        <f>'Pl 2016-20 PFC'!I569</f>
        <v>0</v>
      </c>
      <c r="K570" s="950" t="e">
        <f>'Pl 2016-20 PFC'!#REF!</f>
        <v>#REF!</v>
      </c>
      <c r="L570" s="844"/>
      <c r="M570" s="347"/>
      <c r="N570" s="347"/>
      <c r="O570" s="347"/>
      <c r="P570" s="347"/>
      <c r="Q570" s="347"/>
      <c r="R570" s="347"/>
      <c r="S570" s="347"/>
      <c r="T570" s="347"/>
      <c r="U570" s="347"/>
      <c r="V570" s="347"/>
      <c r="W570" s="347"/>
      <c r="X570" s="347"/>
      <c r="Y570" s="347"/>
      <c r="Z570" s="347"/>
      <c r="AA570" s="347"/>
      <c r="AB570" s="347"/>
      <c r="AC570" s="347"/>
      <c r="AD570" s="347"/>
      <c r="AE570" s="347"/>
      <c r="AF570" s="347"/>
      <c r="AG570" s="347"/>
      <c r="AH570" s="347"/>
      <c r="AI570" s="347"/>
      <c r="AJ570" s="347"/>
      <c r="AK570" s="347"/>
      <c r="AL570" s="347"/>
      <c r="AM570" s="347"/>
      <c r="AN570" s="347"/>
      <c r="AO570" s="347"/>
    </row>
    <row r="571" spans="1:41" s="397" customFormat="1" hidden="1">
      <c r="A571" s="779"/>
      <c r="B571" s="1214" t="s">
        <v>181</v>
      </c>
      <c r="C571" s="1215"/>
      <c r="D571" s="394">
        <f>'Pl 2016-20 PFC'!D570</f>
        <v>500000</v>
      </c>
      <c r="E571" s="950">
        <f>'Pl 2016-20 PFC'!E570</f>
        <v>500000</v>
      </c>
      <c r="F571" s="950">
        <f>'Pl 2016-20 PFC'!F570</f>
        <v>0</v>
      </c>
      <c r="G571" s="950">
        <f>'Pl 2016-20 PFC'!G570</f>
        <v>0</v>
      </c>
      <c r="H571" s="950">
        <f t="shared" si="21"/>
        <v>0</v>
      </c>
      <c r="I571" s="950">
        <f>'Pl 2016-20 PFC'!H570</f>
        <v>0</v>
      </c>
      <c r="J571" s="950">
        <f>'Pl 2016-20 PFC'!I570</f>
        <v>0</v>
      </c>
      <c r="K571" s="950" t="e">
        <f>'Pl 2016-20 PFC'!#REF!</f>
        <v>#REF!</v>
      </c>
      <c r="L571" s="844"/>
      <c r="M571" s="347"/>
      <c r="N571" s="347"/>
      <c r="O571" s="347"/>
      <c r="P571" s="347"/>
      <c r="Q571" s="347"/>
      <c r="R571" s="347"/>
      <c r="S571" s="347"/>
      <c r="T571" s="347"/>
      <c r="U571" s="347"/>
      <c r="V571" s="347"/>
      <c r="W571" s="347"/>
      <c r="X571" s="347"/>
      <c r="Y571" s="347"/>
      <c r="Z571" s="347"/>
      <c r="AA571" s="347"/>
      <c r="AB571" s="347"/>
      <c r="AC571" s="347"/>
      <c r="AD571" s="347"/>
      <c r="AE571" s="347"/>
      <c r="AF571" s="347"/>
      <c r="AG571" s="347"/>
      <c r="AH571" s="347"/>
      <c r="AI571" s="347"/>
      <c r="AJ571" s="347"/>
      <c r="AK571" s="347"/>
      <c r="AL571" s="347"/>
      <c r="AM571" s="347"/>
      <c r="AN571" s="347"/>
      <c r="AO571" s="347"/>
    </row>
    <row r="572" spans="1:41" s="397" customFormat="1" hidden="1">
      <c r="A572" s="779"/>
      <c r="B572" s="1214"/>
      <c r="C572" s="1215"/>
      <c r="D572" s="394"/>
      <c r="E572" s="950"/>
      <c r="F572" s="950"/>
      <c r="G572" s="950"/>
      <c r="H572" s="950">
        <f t="shared" si="21"/>
        <v>0</v>
      </c>
      <c r="I572" s="950"/>
      <c r="J572" s="950"/>
      <c r="K572" s="950"/>
      <c r="L572" s="844"/>
      <c r="M572" s="347"/>
      <c r="N572" s="347"/>
      <c r="O572" s="347"/>
      <c r="P572" s="347"/>
      <c r="Q572" s="347"/>
      <c r="R572" s="347"/>
      <c r="S572" s="347"/>
      <c r="T572" s="347"/>
      <c r="U572" s="347"/>
      <c r="V572" s="347"/>
      <c r="W572" s="347"/>
      <c r="X572" s="347"/>
      <c r="Y572" s="347"/>
      <c r="Z572" s="347"/>
      <c r="AA572" s="347"/>
      <c r="AB572" s="347"/>
      <c r="AC572" s="347"/>
      <c r="AD572" s="347"/>
      <c r="AE572" s="347"/>
      <c r="AF572" s="347"/>
      <c r="AG572" s="347"/>
      <c r="AH572" s="347"/>
      <c r="AI572" s="347"/>
      <c r="AJ572" s="347"/>
      <c r="AK572" s="347"/>
      <c r="AL572" s="347"/>
      <c r="AM572" s="347"/>
      <c r="AN572" s="347"/>
      <c r="AO572" s="347"/>
    </row>
    <row r="573" spans="1:41" s="393" customFormat="1" hidden="1">
      <c r="A573" s="779" t="s">
        <v>641</v>
      </c>
      <c r="B573" s="1214" t="s">
        <v>435</v>
      </c>
      <c r="C573" s="1215" t="s">
        <v>115</v>
      </c>
      <c r="D573" s="394">
        <f>'Pl 2016-20 PFC'!D572</f>
        <v>915783000</v>
      </c>
      <c r="E573" s="950">
        <f>'Pl 2016-20 PFC'!E572</f>
        <v>915783000</v>
      </c>
      <c r="F573" s="950">
        <f>'Pl 2016-20 PFC'!F572</f>
        <v>922378500</v>
      </c>
      <c r="G573" s="950">
        <f>'Pl 2016-20 PFC'!G572</f>
        <v>922379000</v>
      </c>
      <c r="H573" s="950">
        <f t="shared" si="21"/>
        <v>-500</v>
      </c>
      <c r="I573" s="950">
        <f>'Pl 2016-20 PFC'!H572</f>
        <v>0</v>
      </c>
      <c r="J573" s="950">
        <f>'Pl 2016-20 PFC'!I572</f>
        <v>922379000</v>
      </c>
      <c r="K573" s="950" t="e">
        <f>'Pl 2016-20 PFC'!#REF!</f>
        <v>#REF!</v>
      </c>
      <c r="L573" s="843"/>
      <c r="M573" s="392"/>
      <c r="N573" s="392"/>
      <c r="O573" s="392"/>
      <c r="P573" s="392"/>
      <c r="Q573" s="392"/>
      <c r="R573" s="392"/>
      <c r="S573" s="392"/>
      <c r="T573" s="392"/>
      <c r="U573" s="392"/>
      <c r="V573" s="392"/>
      <c r="W573" s="392"/>
      <c r="X573" s="392"/>
      <c r="Y573" s="392"/>
      <c r="Z573" s="392"/>
      <c r="AA573" s="392"/>
      <c r="AB573" s="392"/>
      <c r="AC573" s="392"/>
      <c r="AD573" s="392"/>
      <c r="AE573" s="392"/>
      <c r="AF573" s="392"/>
      <c r="AG573" s="392"/>
      <c r="AH573" s="392"/>
      <c r="AI573" s="392"/>
      <c r="AJ573" s="392"/>
      <c r="AK573" s="392"/>
      <c r="AL573" s="392"/>
      <c r="AM573" s="392"/>
      <c r="AN573" s="392"/>
      <c r="AO573" s="392"/>
    </row>
    <row r="574" spans="1:41" s="393" customFormat="1" hidden="1">
      <c r="A574" s="779"/>
      <c r="B574" s="1214" t="s">
        <v>289</v>
      </c>
      <c r="C574" s="1223"/>
      <c r="D574" s="394"/>
      <c r="E574" s="950"/>
      <c r="F574" s="950"/>
      <c r="G574" s="950"/>
      <c r="H574" s="950">
        <f t="shared" si="21"/>
        <v>0</v>
      </c>
      <c r="I574" s="950"/>
      <c r="J574" s="950"/>
      <c r="K574" s="950"/>
      <c r="L574" s="843"/>
      <c r="M574" s="392"/>
      <c r="N574" s="392"/>
      <c r="O574" s="392"/>
      <c r="P574" s="392"/>
      <c r="Q574" s="392"/>
      <c r="R574" s="392"/>
      <c r="S574" s="392"/>
      <c r="T574" s="392"/>
      <c r="U574" s="392"/>
      <c r="V574" s="392"/>
      <c r="W574" s="392"/>
      <c r="X574" s="392"/>
      <c r="Y574" s="392"/>
      <c r="Z574" s="392"/>
      <c r="AA574" s="392"/>
      <c r="AB574" s="392"/>
      <c r="AC574" s="392"/>
      <c r="AD574" s="392"/>
      <c r="AE574" s="392"/>
      <c r="AF574" s="392"/>
      <c r="AG574" s="392"/>
      <c r="AH574" s="392"/>
      <c r="AI574" s="392"/>
      <c r="AJ574" s="392"/>
      <c r="AK574" s="392"/>
      <c r="AL574" s="392"/>
      <c r="AM574" s="392"/>
      <c r="AN574" s="392"/>
      <c r="AO574" s="392"/>
    </row>
    <row r="575" spans="1:41" s="397" customFormat="1" hidden="1">
      <c r="A575" s="779" t="s">
        <v>436</v>
      </c>
      <c r="B575" s="1214" t="s">
        <v>290</v>
      </c>
      <c r="C575" s="1215"/>
      <c r="D575" s="394">
        <f>'Pl 2016-20 PFC'!D574</f>
        <v>146341000</v>
      </c>
      <c r="E575" s="950">
        <f>'Pl 2016-20 PFC'!E574</f>
        <v>146341000</v>
      </c>
      <c r="F575" s="950">
        <f>'Pl 2016-20 PFC'!F574</f>
        <v>146341000</v>
      </c>
      <c r="G575" s="950">
        <f>'Pl 2016-20 PFC'!G574</f>
        <v>146341000</v>
      </c>
      <c r="H575" s="950">
        <f t="shared" si="21"/>
        <v>0</v>
      </c>
      <c r="I575" s="950">
        <f>'Pl 2016-20 PFC'!H574</f>
        <v>0</v>
      </c>
      <c r="J575" s="950">
        <f>'Pl 2016-20 PFC'!I574</f>
        <v>146341000</v>
      </c>
      <c r="K575" s="950" t="e">
        <f>'Pl 2016-20 PFC'!#REF!</f>
        <v>#REF!</v>
      </c>
      <c r="L575" s="844"/>
      <c r="M575" s="347"/>
      <c r="N575" s="347"/>
      <c r="O575" s="347"/>
      <c r="P575" s="347"/>
      <c r="Q575" s="347"/>
      <c r="R575" s="347"/>
      <c r="S575" s="347"/>
      <c r="T575" s="347"/>
      <c r="U575" s="347"/>
      <c r="V575" s="347"/>
      <c r="W575" s="347"/>
      <c r="X575" s="347"/>
      <c r="Y575" s="347"/>
      <c r="Z575" s="347"/>
      <c r="AA575" s="347"/>
      <c r="AB575" s="347"/>
      <c r="AC575" s="347"/>
      <c r="AD575" s="347"/>
      <c r="AE575" s="347"/>
      <c r="AF575" s="347"/>
      <c r="AG575" s="347"/>
      <c r="AH575" s="347"/>
      <c r="AI575" s="347"/>
      <c r="AJ575" s="347"/>
      <c r="AK575" s="347"/>
      <c r="AL575" s="347"/>
      <c r="AM575" s="347"/>
      <c r="AN575" s="347"/>
      <c r="AO575" s="347"/>
    </row>
    <row r="576" spans="1:41" s="397" customFormat="1" hidden="1">
      <c r="A576" s="779"/>
      <c r="B576" s="1214"/>
      <c r="C576" s="1215"/>
      <c r="D576" s="394"/>
      <c r="E576" s="950"/>
      <c r="F576" s="950"/>
      <c r="G576" s="950"/>
      <c r="H576" s="950">
        <f t="shared" si="21"/>
        <v>0</v>
      </c>
      <c r="I576" s="950"/>
      <c r="J576" s="950"/>
      <c r="K576" s="950"/>
      <c r="L576" s="844"/>
      <c r="M576" s="347"/>
      <c r="N576" s="347"/>
      <c r="O576" s="347"/>
      <c r="P576" s="347"/>
      <c r="Q576" s="347"/>
      <c r="R576" s="347"/>
      <c r="S576" s="347"/>
      <c r="T576" s="347"/>
      <c r="U576" s="347"/>
      <c r="V576" s="347"/>
      <c r="W576" s="347"/>
      <c r="X576" s="347"/>
      <c r="Y576" s="347"/>
      <c r="Z576" s="347"/>
      <c r="AA576" s="347"/>
      <c r="AB576" s="347"/>
      <c r="AC576" s="347"/>
      <c r="AD576" s="347"/>
      <c r="AE576" s="347"/>
      <c r="AF576" s="347"/>
      <c r="AG576" s="347"/>
      <c r="AH576" s="347"/>
      <c r="AI576" s="347"/>
      <c r="AJ576" s="347"/>
      <c r="AK576" s="347"/>
      <c r="AL576" s="347"/>
      <c r="AM576" s="347"/>
      <c r="AN576" s="347"/>
      <c r="AO576" s="347"/>
    </row>
    <row r="577" spans="1:41" s="397" customFormat="1" hidden="1">
      <c r="A577" s="779" t="s">
        <v>438</v>
      </c>
      <c r="B577" s="1214" t="s">
        <v>291</v>
      </c>
      <c r="C577" s="1215"/>
      <c r="D577" s="394">
        <f>'Pl 2016-20 PFC'!D576</f>
        <v>3659000</v>
      </c>
      <c r="E577" s="950">
        <f>'Pl 2016-20 PFC'!E576</f>
        <v>3659000</v>
      </c>
      <c r="F577" s="950">
        <f>'Pl 2016-20 PFC'!F576</f>
        <v>3659000</v>
      </c>
      <c r="G577" s="950">
        <f>'Pl 2016-20 PFC'!G576</f>
        <v>3659000</v>
      </c>
      <c r="H577" s="950">
        <f t="shared" si="21"/>
        <v>0</v>
      </c>
      <c r="I577" s="950">
        <f>'Pl 2016-20 PFC'!H576</f>
        <v>0</v>
      </c>
      <c r="J577" s="950">
        <f>'Pl 2016-20 PFC'!I576</f>
        <v>3659000</v>
      </c>
      <c r="K577" s="950" t="e">
        <f>'Pl 2016-20 PFC'!#REF!</f>
        <v>#REF!</v>
      </c>
      <c r="L577" s="844"/>
      <c r="M577" s="347"/>
      <c r="N577" s="347"/>
      <c r="O577" s="347"/>
      <c r="P577" s="347"/>
      <c r="Q577" s="347"/>
      <c r="R577" s="347"/>
      <c r="S577" s="347"/>
      <c r="T577" s="347"/>
      <c r="U577" s="347"/>
      <c r="V577" s="347"/>
      <c r="W577" s="347"/>
      <c r="X577" s="347"/>
      <c r="Y577" s="347"/>
      <c r="Z577" s="347"/>
      <c r="AA577" s="347"/>
      <c r="AB577" s="347"/>
      <c r="AC577" s="347"/>
      <c r="AD577" s="347"/>
      <c r="AE577" s="347"/>
      <c r="AF577" s="347"/>
      <c r="AG577" s="347"/>
      <c r="AH577" s="347"/>
      <c r="AI577" s="347"/>
      <c r="AJ577" s="347"/>
      <c r="AK577" s="347"/>
      <c r="AL577" s="347"/>
      <c r="AM577" s="347"/>
      <c r="AN577" s="347"/>
      <c r="AO577" s="347"/>
    </row>
    <row r="578" spans="1:41" s="397" customFormat="1" hidden="1">
      <c r="A578" s="779"/>
      <c r="B578" s="1214"/>
      <c r="C578" s="1215"/>
      <c r="D578" s="394"/>
      <c r="E578" s="950"/>
      <c r="F578" s="950"/>
      <c r="G578" s="950"/>
      <c r="H578" s="950">
        <f t="shared" si="21"/>
        <v>0</v>
      </c>
      <c r="I578" s="950"/>
      <c r="J578" s="950"/>
      <c r="K578" s="950"/>
      <c r="L578" s="844"/>
      <c r="M578" s="347"/>
      <c r="N578" s="347"/>
      <c r="O578" s="347"/>
      <c r="P578" s="347"/>
      <c r="Q578" s="347"/>
      <c r="R578" s="347"/>
      <c r="S578" s="347"/>
      <c r="T578" s="347"/>
      <c r="U578" s="347"/>
      <c r="V578" s="347"/>
      <c r="W578" s="347"/>
      <c r="X578" s="347"/>
      <c r="Y578" s="347"/>
      <c r="Z578" s="347"/>
      <c r="AA578" s="347"/>
      <c r="AB578" s="347"/>
      <c r="AC578" s="347"/>
      <c r="AD578" s="347"/>
      <c r="AE578" s="347"/>
      <c r="AF578" s="347"/>
      <c r="AG578" s="347"/>
      <c r="AH578" s="347"/>
      <c r="AI578" s="347"/>
      <c r="AJ578" s="347"/>
      <c r="AK578" s="347"/>
      <c r="AL578" s="347"/>
      <c r="AM578" s="347"/>
      <c r="AN578" s="347"/>
      <c r="AO578" s="347"/>
    </row>
    <row r="579" spans="1:41" s="397" customFormat="1" hidden="1">
      <c r="A579" s="779" t="s">
        <v>440</v>
      </c>
      <c r="B579" s="1214" t="s">
        <v>292</v>
      </c>
      <c r="C579" s="1215"/>
      <c r="D579" s="394">
        <f>'Pl 2016-20 PFC'!D578</f>
        <v>747105000</v>
      </c>
      <c r="E579" s="950">
        <f>'Pl 2016-20 PFC'!E578</f>
        <v>747105000</v>
      </c>
      <c r="F579" s="950">
        <f>'Pl 2016-20 PFC'!F578</f>
        <v>753540000</v>
      </c>
      <c r="G579" s="950">
        <f>'Pl 2016-20 PFC'!G578</f>
        <v>753540000</v>
      </c>
      <c r="H579" s="950">
        <f t="shared" si="21"/>
        <v>0</v>
      </c>
      <c r="I579" s="950">
        <f>'Pl 2016-20 PFC'!H578</f>
        <v>0</v>
      </c>
      <c r="J579" s="950">
        <f>'Pl 2016-20 PFC'!I578</f>
        <v>753540000</v>
      </c>
      <c r="K579" s="950" t="e">
        <f>'Pl 2016-20 PFC'!#REF!</f>
        <v>#REF!</v>
      </c>
      <c r="L579" s="844"/>
      <c r="M579" s="347"/>
      <c r="N579" s="347"/>
      <c r="O579" s="347"/>
      <c r="P579" s="347"/>
      <c r="Q579" s="347"/>
      <c r="R579" s="347"/>
      <c r="S579" s="347"/>
      <c r="T579" s="347"/>
      <c r="U579" s="347"/>
      <c r="V579" s="347"/>
      <c r="W579" s="347"/>
      <c r="X579" s="347"/>
      <c r="Y579" s="347"/>
      <c r="Z579" s="347"/>
      <c r="AA579" s="347"/>
      <c r="AB579" s="347"/>
      <c r="AC579" s="347"/>
      <c r="AD579" s="347"/>
      <c r="AE579" s="347"/>
      <c r="AF579" s="347"/>
      <c r="AG579" s="347"/>
      <c r="AH579" s="347"/>
      <c r="AI579" s="347"/>
      <c r="AJ579" s="347"/>
      <c r="AK579" s="347"/>
      <c r="AL579" s="347"/>
      <c r="AM579" s="347"/>
      <c r="AN579" s="347"/>
      <c r="AO579" s="347"/>
    </row>
    <row r="580" spans="1:41" s="393" customFormat="1" hidden="1">
      <c r="A580" s="779"/>
      <c r="B580" s="1214"/>
      <c r="C580" s="1215"/>
      <c r="D580" s="394"/>
      <c r="E580" s="950"/>
      <c r="F580" s="950"/>
      <c r="G580" s="950"/>
      <c r="H580" s="950">
        <f t="shared" si="21"/>
        <v>0</v>
      </c>
      <c r="I580" s="950"/>
      <c r="J580" s="950"/>
      <c r="K580" s="950"/>
      <c r="L580" s="843"/>
      <c r="M580" s="392"/>
      <c r="N580" s="392"/>
      <c r="O580" s="392"/>
      <c r="P580" s="392"/>
      <c r="Q580" s="392"/>
      <c r="R580" s="392"/>
      <c r="S580" s="392"/>
      <c r="T580" s="392"/>
      <c r="U580" s="392"/>
      <c r="V580" s="392"/>
      <c r="W580" s="392"/>
      <c r="X580" s="392"/>
      <c r="Y580" s="392"/>
      <c r="Z580" s="392"/>
      <c r="AA580" s="392"/>
      <c r="AB580" s="392"/>
      <c r="AC580" s="392"/>
      <c r="AD580" s="392"/>
      <c r="AE580" s="392"/>
      <c r="AF580" s="392"/>
      <c r="AG580" s="392"/>
      <c r="AH580" s="392"/>
      <c r="AI580" s="392"/>
      <c r="AJ580" s="392"/>
      <c r="AK580" s="392"/>
      <c r="AL580" s="392"/>
      <c r="AM580" s="392"/>
      <c r="AN580" s="392"/>
      <c r="AO580" s="392"/>
    </row>
    <row r="581" spans="1:41" s="397" customFormat="1" hidden="1">
      <c r="A581" s="779" t="s">
        <v>442</v>
      </c>
      <c r="B581" s="1214" t="s">
        <v>294</v>
      </c>
      <c r="C581" s="1215"/>
      <c r="D581" s="394">
        <f>'Pl 2016-20 PFC'!D580</f>
        <v>18678000</v>
      </c>
      <c r="E581" s="950">
        <f>'Pl 2016-20 PFC'!E580</f>
        <v>18678000</v>
      </c>
      <c r="F581" s="950">
        <f>'Pl 2016-20 PFC'!F580</f>
        <v>18838500</v>
      </c>
      <c r="G581" s="950">
        <f>'Pl 2016-20 PFC'!G580</f>
        <v>18839000</v>
      </c>
      <c r="H581" s="950">
        <f t="shared" si="21"/>
        <v>-500</v>
      </c>
      <c r="I581" s="950">
        <f>'Pl 2016-20 PFC'!H580</f>
        <v>0</v>
      </c>
      <c r="J581" s="950">
        <f>'Pl 2016-20 PFC'!I580</f>
        <v>18839000</v>
      </c>
      <c r="K581" s="950" t="e">
        <f>'Pl 2016-20 PFC'!#REF!</f>
        <v>#REF!</v>
      </c>
      <c r="L581" s="844"/>
      <c r="M581" s="347"/>
      <c r="N581" s="347"/>
      <c r="O581" s="347"/>
      <c r="P581" s="347"/>
      <c r="Q581" s="347"/>
      <c r="R581" s="347"/>
      <c r="S581" s="347"/>
      <c r="T581" s="347"/>
      <c r="U581" s="347"/>
      <c r="V581" s="347"/>
      <c r="W581" s="347"/>
      <c r="X581" s="347"/>
      <c r="Y581" s="347"/>
      <c r="Z581" s="347"/>
      <c r="AA581" s="347"/>
      <c r="AB581" s="347"/>
      <c r="AC581" s="347"/>
      <c r="AD581" s="347"/>
      <c r="AE581" s="347"/>
      <c r="AF581" s="347"/>
      <c r="AG581" s="347"/>
      <c r="AH581" s="347"/>
      <c r="AI581" s="347"/>
      <c r="AJ581" s="347"/>
      <c r="AK581" s="347"/>
      <c r="AL581" s="347"/>
      <c r="AM581" s="347"/>
      <c r="AN581" s="347"/>
      <c r="AO581" s="347"/>
    </row>
    <row r="582" spans="1:41" s="397" customFormat="1" hidden="1">
      <c r="A582" s="779"/>
      <c r="B582" s="1214"/>
      <c r="C582" s="1215"/>
      <c r="D582" s="394"/>
      <c r="E582" s="950"/>
      <c r="F582" s="950"/>
      <c r="G582" s="950"/>
      <c r="H582" s="950">
        <f t="shared" si="21"/>
        <v>0</v>
      </c>
      <c r="I582" s="950"/>
      <c r="J582" s="950"/>
      <c r="K582" s="950"/>
      <c r="L582" s="844"/>
      <c r="M582" s="347"/>
      <c r="N582" s="347"/>
      <c r="O582" s="347"/>
      <c r="P582" s="347"/>
      <c r="Q582" s="347"/>
      <c r="R582" s="347"/>
      <c r="S582" s="347"/>
      <c r="T582" s="347"/>
      <c r="U582" s="347"/>
      <c r="V582" s="347"/>
      <c r="W582" s="347"/>
      <c r="X582" s="347"/>
      <c r="Y582" s="347"/>
      <c r="Z582" s="347"/>
      <c r="AA582" s="347"/>
      <c r="AB582" s="347"/>
      <c r="AC582" s="347"/>
      <c r="AD582" s="347"/>
      <c r="AE582" s="347"/>
      <c r="AF582" s="347"/>
      <c r="AG582" s="347"/>
      <c r="AH582" s="347"/>
      <c r="AI582" s="347"/>
      <c r="AJ582" s="347"/>
      <c r="AK582" s="347"/>
      <c r="AL582" s="347"/>
      <c r="AM582" s="347"/>
      <c r="AN582" s="347"/>
      <c r="AO582" s="347"/>
    </row>
    <row r="583" spans="1:41" s="397" customFormat="1" hidden="1">
      <c r="A583" s="779" t="s">
        <v>642</v>
      </c>
      <c r="B583" s="1214" t="s">
        <v>73</v>
      </c>
      <c r="C583" s="1223" t="s">
        <v>81</v>
      </c>
      <c r="D583" s="394">
        <f>'Pl 2016-20 PFC'!D582</f>
        <v>4140000</v>
      </c>
      <c r="E583" s="950">
        <f>'Pl 2016-20 PFC'!E582</f>
        <v>4118000</v>
      </c>
      <c r="F583" s="950">
        <f>'Pl 2016-20 PFC'!F582</f>
        <v>1650000</v>
      </c>
      <c r="G583" s="950">
        <f>'Pl 2016-20 PFC'!G582</f>
        <v>1650000</v>
      </c>
      <c r="H583" s="950">
        <f t="shared" si="21"/>
        <v>0</v>
      </c>
      <c r="I583" s="950">
        <f>'Pl 2016-20 PFC'!H582</f>
        <v>0</v>
      </c>
      <c r="J583" s="950">
        <f>'Pl 2016-20 PFC'!I582</f>
        <v>1650000</v>
      </c>
      <c r="K583" s="950" t="e">
        <f>'Pl 2016-20 PFC'!#REF!</f>
        <v>#REF!</v>
      </c>
      <c r="L583" s="844"/>
      <c r="M583" s="347"/>
      <c r="N583" s="347"/>
      <c r="O583" s="347"/>
      <c r="P583" s="347"/>
      <c r="Q583" s="347"/>
      <c r="R583" s="347"/>
      <c r="S583" s="347"/>
      <c r="T583" s="347"/>
      <c r="U583" s="347"/>
      <c r="V583" s="347"/>
      <c r="W583" s="347"/>
      <c r="X583" s="347"/>
      <c r="Y583" s="347"/>
      <c r="Z583" s="347"/>
      <c r="AA583" s="347"/>
      <c r="AB583" s="347"/>
      <c r="AC583" s="347"/>
      <c r="AD583" s="347"/>
      <c r="AE583" s="347"/>
      <c r="AF583" s="347"/>
      <c r="AG583" s="347"/>
      <c r="AH583" s="347"/>
      <c r="AI583" s="347"/>
      <c r="AJ583" s="347"/>
      <c r="AK583" s="347"/>
      <c r="AL583" s="347"/>
      <c r="AM583" s="347"/>
      <c r="AN583" s="347"/>
      <c r="AO583" s="347"/>
    </row>
    <row r="584" spans="1:41" s="349" customFormat="1" hidden="1">
      <c r="A584" s="1603"/>
      <c r="B584" s="1604" t="s">
        <v>295</v>
      </c>
      <c r="C584" s="1605"/>
      <c r="D584" s="394"/>
      <c r="E584" s="950"/>
      <c r="F584" s="950"/>
      <c r="G584" s="950"/>
      <c r="H584" s="950">
        <f t="shared" si="21"/>
        <v>0</v>
      </c>
      <c r="I584" s="950"/>
      <c r="J584" s="950"/>
      <c r="K584" s="950"/>
      <c r="L584" s="844"/>
      <c r="M584" s="347"/>
      <c r="N584" s="347"/>
      <c r="O584" s="347"/>
      <c r="P584" s="347"/>
      <c r="Q584" s="347"/>
      <c r="R584" s="347"/>
      <c r="S584" s="347"/>
      <c r="T584" s="347"/>
      <c r="U584" s="347"/>
      <c r="V584" s="347"/>
      <c r="W584" s="347"/>
      <c r="X584" s="347"/>
      <c r="Y584" s="347"/>
      <c r="Z584" s="347"/>
      <c r="AA584" s="347"/>
      <c r="AB584" s="347"/>
      <c r="AC584" s="347"/>
      <c r="AD584" s="347"/>
      <c r="AE584" s="347"/>
      <c r="AF584" s="347"/>
      <c r="AG584" s="347"/>
      <c r="AH584" s="347"/>
      <c r="AI584" s="347"/>
      <c r="AJ584" s="347"/>
      <c r="AK584" s="347"/>
      <c r="AL584" s="347"/>
      <c r="AM584" s="347"/>
      <c r="AN584" s="348"/>
      <c r="AO584" s="348"/>
    </row>
    <row r="585" spans="1:41" s="349" customFormat="1" hidden="1">
      <c r="A585" s="1603"/>
      <c r="B585" s="1604" t="s">
        <v>296</v>
      </c>
      <c r="C585" s="1598" t="s">
        <v>136</v>
      </c>
      <c r="D585" s="394">
        <f>'Pl 2016-20 PFC'!D584</f>
        <v>2621000</v>
      </c>
      <c r="E585" s="950">
        <f>'Pl 2016-20 PFC'!E584</f>
        <v>2600000</v>
      </c>
      <c r="F585" s="950">
        <f>'Pl 2016-20 PFC'!F584</f>
        <v>200000</v>
      </c>
      <c r="G585" s="950">
        <f>'Pl 2016-20 PFC'!G584</f>
        <v>200000</v>
      </c>
      <c r="H585" s="950">
        <f t="shared" si="21"/>
        <v>0</v>
      </c>
      <c r="I585" s="950">
        <f>'Pl 2016-20 PFC'!H584</f>
        <v>0</v>
      </c>
      <c r="J585" s="950">
        <f>'Pl 2016-20 PFC'!I584</f>
        <v>200000</v>
      </c>
      <c r="K585" s="950" t="e">
        <f>'Pl 2016-20 PFC'!#REF!</f>
        <v>#REF!</v>
      </c>
      <c r="L585" s="844"/>
      <c r="M585" s="347"/>
      <c r="N585" s="347"/>
      <c r="O585" s="347"/>
      <c r="P585" s="347"/>
      <c r="Q585" s="347"/>
      <c r="R585" s="347"/>
      <c r="S585" s="347"/>
      <c r="T585" s="347"/>
      <c r="U585" s="347"/>
      <c r="V585" s="347"/>
      <c r="W585" s="347"/>
      <c r="X585" s="347"/>
      <c r="Y585" s="347"/>
      <c r="Z585" s="347"/>
      <c r="AA585" s="347"/>
      <c r="AB585" s="347"/>
      <c r="AC585" s="347"/>
      <c r="AD585" s="347"/>
      <c r="AE585" s="347"/>
      <c r="AF585" s="347"/>
      <c r="AG585" s="347"/>
      <c r="AH585" s="347"/>
      <c r="AI585" s="347"/>
      <c r="AJ585" s="347"/>
      <c r="AK585" s="347"/>
      <c r="AL585" s="347"/>
      <c r="AM585" s="347"/>
      <c r="AN585" s="348"/>
      <c r="AO585" s="348"/>
    </row>
    <row r="586" spans="1:41" s="349" customFormat="1" hidden="1">
      <c r="A586" s="1603"/>
      <c r="B586" s="1604" t="s">
        <v>298</v>
      </c>
      <c r="C586" s="1598" t="s">
        <v>299</v>
      </c>
      <c r="D586" s="394">
        <f>'Pl 2016-20 PFC'!D585</f>
        <v>1519000</v>
      </c>
      <c r="E586" s="950">
        <f>'Pl 2016-20 PFC'!E585</f>
        <v>1518000</v>
      </c>
      <c r="F586" s="950">
        <f>'Pl 2016-20 PFC'!F585</f>
        <v>1450000</v>
      </c>
      <c r="G586" s="950">
        <f>'Pl 2016-20 PFC'!G585</f>
        <v>1450000</v>
      </c>
      <c r="H586" s="950">
        <f t="shared" si="21"/>
        <v>0</v>
      </c>
      <c r="I586" s="950">
        <f>'Pl 2016-20 PFC'!H585</f>
        <v>0</v>
      </c>
      <c r="J586" s="950">
        <f>'Pl 2016-20 PFC'!I585</f>
        <v>1450000</v>
      </c>
      <c r="K586" s="950" t="e">
        <f>'Pl 2016-20 PFC'!#REF!</f>
        <v>#REF!</v>
      </c>
      <c r="L586" s="844"/>
      <c r="M586" s="347"/>
      <c r="N586" s="347"/>
      <c r="O586" s="347"/>
      <c r="P586" s="347"/>
      <c r="Q586" s="347"/>
      <c r="R586" s="347"/>
      <c r="S586" s="347"/>
      <c r="T586" s="347"/>
      <c r="U586" s="347"/>
      <c r="V586" s="347"/>
      <c r="W586" s="347"/>
      <c r="X586" s="347"/>
      <c r="Y586" s="347"/>
      <c r="Z586" s="347"/>
      <c r="AA586" s="347"/>
      <c r="AB586" s="347"/>
      <c r="AC586" s="347"/>
      <c r="AD586" s="347"/>
      <c r="AE586" s="347"/>
      <c r="AF586" s="347"/>
      <c r="AG586" s="347"/>
      <c r="AH586" s="347"/>
      <c r="AI586" s="347"/>
      <c r="AJ586" s="347"/>
      <c r="AK586" s="347"/>
      <c r="AL586" s="347"/>
      <c r="AM586" s="347"/>
      <c r="AN586" s="348"/>
      <c r="AO586" s="348"/>
    </row>
    <row r="587" spans="1:41" s="349" customFormat="1" ht="16.2" hidden="1" thickBot="1">
      <c r="A587" s="1256"/>
      <c r="B587" s="1257"/>
      <c r="C587" s="1258"/>
      <c r="D587" s="1259"/>
      <c r="E587" s="1260"/>
      <c r="F587" s="1260"/>
      <c r="G587" s="1260"/>
      <c r="H587" s="1260">
        <f t="shared" si="21"/>
        <v>0</v>
      </c>
      <c r="I587" s="1260"/>
      <c r="J587" s="1260"/>
      <c r="K587" s="1260"/>
      <c r="L587" s="844"/>
      <c r="M587" s="347"/>
      <c r="N587" s="347"/>
      <c r="O587" s="347"/>
      <c r="P587" s="347"/>
      <c r="Q587" s="347"/>
      <c r="R587" s="347"/>
      <c r="S587" s="347"/>
      <c r="T587" s="347"/>
      <c r="U587" s="347"/>
      <c r="V587" s="347"/>
      <c r="W587" s="347"/>
      <c r="X587" s="347"/>
      <c r="Y587" s="347"/>
      <c r="Z587" s="347"/>
      <c r="AA587" s="347"/>
      <c r="AB587" s="347"/>
      <c r="AC587" s="347"/>
      <c r="AD587" s="347"/>
      <c r="AE587" s="347"/>
      <c r="AF587" s="347"/>
      <c r="AG587" s="347"/>
      <c r="AH587" s="347"/>
      <c r="AI587" s="347"/>
      <c r="AJ587" s="347"/>
      <c r="AK587" s="347"/>
      <c r="AL587" s="347"/>
      <c r="AM587" s="347"/>
      <c r="AN587" s="348"/>
      <c r="AO587" s="348"/>
    </row>
    <row r="588" spans="1:41" s="364" customFormat="1" ht="18.600000000000001" hidden="1" thickBot="1">
      <c r="A588" s="1071" t="s">
        <v>488</v>
      </c>
      <c r="B588" s="1072"/>
      <c r="C588" s="1072"/>
      <c r="D588" s="1072"/>
      <c r="E588" s="1262"/>
      <c r="F588" s="1262"/>
      <c r="G588" s="1262"/>
      <c r="H588" s="1262"/>
      <c r="I588" s="1262"/>
      <c r="J588" s="1262"/>
      <c r="K588" s="1262"/>
      <c r="L588" s="842"/>
      <c r="M588" s="307"/>
      <c r="N588" s="307"/>
      <c r="O588" s="307"/>
      <c r="P588" s="307"/>
      <c r="Q588" s="307"/>
      <c r="R588" s="307"/>
      <c r="S588" s="307"/>
      <c r="T588" s="307"/>
      <c r="U588" s="307"/>
      <c r="V588" s="307"/>
      <c r="W588" s="307"/>
      <c r="X588" s="307"/>
      <c r="Y588" s="307"/>
      <c r="Z588" s="307"/>
      <c r="AA588" s="307"/>
      <c r="AB588" s="307"/>
      <c r="AC588" s="307"/>
      <c r="AD588" s="307"/>
      <c r="AE588" s="307"/>
      <c r="AF588" s="307"/>
      <c r="AG588" s="307"/>
      <c r="AH588" s="307"/>
      <c r="AI588" s="307"/>
      <c r="AJ588" s="307"/>
      <c r="AK588" s="307"/>
      <c r="AL588" s="307"/>
      <c r="AM588" s="307"/>
      <c r="AN588" s="363"/>
      <c r="AO588" s="363"/>
    </row>
    <row r="589" spans="1:41" s="364" customFormat="1" ht="78.599999999999994" hidden="1" thickBot="1">
      <c r="A589" s="2237" t="s">
        <v>7</v>
      </c>
      <c r="B589" s="2248" t="s">
        <v>489</v>
      </c>
      <c r="C589" s="2248"/>
      <c r="D589" s="1263"/>
      <c r="E589" s="1189" t="str">
        <f>E66</f>
        <v>Przewidywane 
wykonanie 
w 2015</v>
      </c>
      <c r="F589" s="1189" t="str">
        <f>F66</f>
        <v>Projekt planu 
na 2016 r.</v>
      </c>
      <c r="G589" s="1189" t="str">
        <f>G66</f>
        <v>Plan  
na 2016 r.</v>
      </c>
      <c r="H589" s="1189"/>
      <c r="I589" s="1189" t="str">
        <f>I66</f>
        <v xml:space="preserve">Zmiany  </v>
      </c>
      <c r="J589" s="1189" t="str">
        <f>J66</f>
        <v xml:space="preserve">Plan wg. Ustawy Budżetowej zmieniony za zgodą MF z dnia 
28 kwietnia 2016 r. oraz 
opinią KFP z dnia 28 kwietnia 2016 r. </v>
      </c>
      <c r="K589" s="1189" t="e">
        <f>K66</f>
        <v>#REF!</v>
      </c>
      <c r="L589" s="980"/>
      <c r="M589" s="307"/>
      <c r="N589" s="307"/>
      <c r="O589" s="307"/>
      <c r="P589" s="307"/>
      <c r="Q589" s="307"/>
      <c r="R589" s="307"/>
      <c r="S589" s="307"/>
      <c r="T589" s="307"/>
      <c r="U589" s="307"/>
      <c r="V589" s="307"/>
      <c r="W589" s="307"/>
      <c r="X589" s="307"/>
      <c r="Y589" s="307"/>
      <c r="Z589" s="307"/>
      <c r="AA589" s="307"/>
      <c r="AB589" s="307"/>
      <c r="AC589" s="307"/>
      <c r="AD589" s="307"/>
      <c r="AE589" s="307"/>
      <c r="AF589" s="307"/>
      <c r="AG589" s="307"/>
      <c r="AH589" s="307"/>
      <c r="AI589" s="307"/>
      <c r="AJ589" s="307"/>
      <c r="AK589" s="307"/>
      <c r="AL589" s="307"/>
      <c r="AM589" s="307"/>
      <c r="AN589" s="363"/>
      <c r="AO589" s="363"/>
    </row>
    <row r="590" spans="1:41" s="364" customFormat="1" ht="16.2" hidden="1" thickBot="1">
      <c r="A590" s="2237"/>
      <c r="B590" s="2248"/>
      <c r="C590" s="2248"/>
      <c r="D590" s="1584"/>
      <c r="E590" s="2236" t="str">
        <f>E345</f>
        <v>w tysiącach złotych</v>
      </c>
      <c r="F590" s="2236"/>
      <c r="G590" s="2236"/>
      <c r="H590" s="2236"/>
      <c r="I590" s="2236"/>
      <c r="J590" s="2236"/>
      <c r="K590" s="2236"/>
      <c r="L590" s="981"/>
      <c r="M590" s="307"/>
      <c r="N590" s="307"/>
      <c r="O590" s="307"/>
      <c r="P590" s="307"/>
      <c r="Q590" s="307"/>
      <c r="R590" s="307"/>
      <c r="S590" s="307"/>
      <c r="T590" s="307"/>
      <c r="U590" s="307"/>
      <c r="V590" s="307"/>
      <c r="W590" s="307"/>
      <c r="X590" s="307"/>
      <c r="Y590" s="307"/>
      <c r="Z590" s="307"/>
      <c r="AA590" s="307"/>
      <c r="AB590" s="307"/>
      <c r="AC590" s="307"/>
      <c r="AD590" s="307"/>
      <c r="AE590" s="307"/>
      <c r="AF590" s="307"/>
      <c r="AG590" s="307"/>
      <c r="AH590" s="307"/>
      <c r="AI590" s="307"/>
      <c r="AJ590" s="307"/>
      <c r="AK590" s="307"/>
      <c r="AL590" s="307"/>
      <c r="AM590" s="307"/>
      <c r="AN590" s="363"/>
      <c r="AO590" s="363"/>
    </row>
    <row r="591" spans="1:41" s="364" customFormat="1" ht="16.2" hidden="1" thickBot="1">
      <c r="A591" s="1191">
        <v>1</v>
      </c>
      <c r="B591" s="1192">
        <v>2</v>
      </c>
      <c r="C591" s="1193"/>
      <c r="D591" s="1193"/>
      <c r="E591" s="1194">
        <v>3</v>
      </c>
      <c r="F591" s="1195">
        <v>4</v>
      </c>
      <c r="G591" s="1195">
        <v>4</v>
      </c>
      <c r="H591" s="1195"/>
      <c r="I591" s="1195">
        <v>5</v>
      </c>
      <c r="J591" s="1195">
        <v>6</v>
      </c>
      <c r="K591" s="1195">
        <v>7</v>
      </c>
      <c r="L591" s="980"/>
      <c r="M591" s="307"/>
      <c r="N591" s="307"/>
      <c r="O591" s="307"/>
      <c r="P591" s="307"/>
      <c r="Q591" s="307"/>
      <c r="R591" s="307"/>
      <c r="S591" s="307"/>
      <c r="T591" s="307"/>
      <c r="U591" s="307"/>
      <c r="V591" s="307"/>
      <c r="W591" s="307"/>
      <c r="X591" s="307"/>
      <c r="Y591" s="307"/>
      <c r="Z591" s="307"/>
      <c r="AA591" s="307"/>
      <c r="AB591" s="307"/>
      <c r="AC591" s="307"/>
      <c r="AD591" s="307"/>
      <c r="AE591" s="307"/>
      <c r="AF591" s="307"/>
      <c r="AG591" s="307"/>
      <c r="AH591" s="307"/>
      <c r="AI591" s="307"/>
      <c r="AJ591" s="307"/>
      <c r="AK591" s="307"/>
      <c r="AL591" s="307"/>
      <c r="AM591" s="307"/>
      <c r="AN591" s="363"/>
      <c r="AO591" s="363"/>
    </row>
    <row r="592" spans="1:41" s="336" customFormat="1" ht="16.2" hidden="1" thickBot="1">
      <c r="A592" s="1265"/>
      <c r="B592" s="2249" t="s">
        <v>490</v>
      </c>
      <c r="C592" s="2249"/>
      <c r="D592" s="1266"/>
      <c r="E592" s="1265"/>
      <c r="F592" s="1265"/>
      <c r="G592" s="1265"/>
      <c r="H592" s="1265"/>
      <c r="I592" s="1265"/>
      <c r="J592" s="1265"/>
      <c r="K592" s="1265"/>
      <c r="L592" s="978"/>
      <c r="M592" s="334"/>
      <c r="N592" s="334"/>
      <c r="O592" s="334"/>
      <c r="P592" s="334"/>
      <c r="Q592" s="334"/>
      <c r="R592" s="334"/>
      <c r="S592" s="334"/>
      <c r="T592" s="334"/>
      <c r="U592" s="334"/>
      <c r="V592" s="334"/>
      <c r="W592" s="334"/>
      <c r="X592" s="334"/>
      <c r="Y592" s="334"/>
      <c r="Z592" s="334"/>
      <c r="AA592" s="334"/>
      <c r="AB592" s="334"/>
      <c r="AC592" s="334"/>
      <c r="AD592" s="334"/>
      <c r="AE592" s="334"/>
      <c r="AF592" s="334"/>
      <c r="AG592" s="334"/>
      <c r="AH592" s="334"/>
      <c r="AI592" s="334"/>
      <c r="AJ592" s="334"/>
      <c r="AK592" s="334"/>
      <c r="AL592" s="334"/>
      <c r="AM592" s="334"/>
      <c r="AN592" s="334"/>
      <c r="AO592" s="334"/>
    </row>
    <row r="593" spans="1:91" s="336" customFormat="1" ht="16.2" hidden="1" thickBot="1">
      <c r="A593" s="1267">
        <v>1</v>
      </c>
      <c r="B593" s="2249"/>
      <c r="C593" s="2249"/>
      <c r="D593" s="1268"/>
      <c r="E593" s="1269"/>
      <c r="F593" s="1269"/>
      <c r="G593" s="1269"/>
      <c r="H593" s="1269"/>
      <c r="I593" s="1269"/>
      <c r="J593" s="1269"/>
      <c r="K593" s="1269"/>
      <c r="L593" s="978"/>
      <c r="M593" s="334"/>
      <c r="N593" s="334"/>
      <c r="O593" s="334"/>
      <c r="P593" s="334"/>
      <c r="Q593" s="334"/>
      <c r="R593" s="334"/>
      <c r="S593" s="334"/>
      <c r="T593" s="334"/>
      <c r="U593" s="334"/>
      <c r="V593" s="334"/>
      <c r="W593" s="334"/>
      <c r="X593" s="334"/>
      <c r="Y593" s="334"/>
      <c r="Z593" s="334"/>
      <c r="AA593" s="334"/>
      <c r="AB593" s="334"/>
      <c r="AC593" s="334"/>
      <c r="AD593" s="334"/>
      <c r="AE593" s="334"/>
      <c r="AF593" s="334"/>
      <c r="AG593" s="334"/>
      <c r="AH593" s="334"/>
      <c r="AI593" s="334"/>
      <c r="AJ593" s="334"/>
      <c r="AK593" s="334"/>
      <c r="AL593" s="334"/>
      <c r="AM593" s="334"/>
      <c r="AN593" s="334"/>
      <c r="AO593" s="334"/>
    </row>
    <row r="594" spans="1:91" s="418" customFormat="1" hidden="1">
      <c r="A594" s="1270" t="s">
        <v>16</v>
      </c>
      <c r="B594" s="1581" t="s">
        <v>491</v>
      </c>
      <c r="C594" s="1271"/>
      <c r="D594" s="1171"/>
      <c r="E594" s="382"/>
      <c r="F594" s="382"/>
      <c r="G594" s="382"/>
      <c r="H594" s="382"/>
      <c r="I594" s="382"/>
      <c r="J594" s="382"/>
      <c r="K594" s="382"/>
      <c r="L594" s="979"/>
      <c r="M594" s="365"/>
      <c r="N594" s="365"/>
      <c r="O594" s="365"/>
      <c r="P594" s="365"/>
      <c r="Q594" s="365"/>
      <c r="R594" s="365"/>
      <c r="S594" s="365"/>
      <c r="T594" s="365"/>
      <c r="U594" s="365"/>
      <c r="V594" s="365"/>
      <c r="W594" s="365"/>
      <c r="X594" s="365"/>
      <c r="Y594" s="365"/>
      <c r="Z594" s="365"/>
      <c r="AA594" s="365"/>
      <c r="AB594" s="365"/>
      <c r="AC594" s="365"/>
      <c r="AD594" s="365"/>
      <c r="AE594" s="365"/>
      <c r="AF594" s="365"/>
      <c r="AG594" s="365"/>
      <c r="AH594" s="365"/>
      <c r="AI594" s="365"/>
      <c r="AJ594" s="365"/>
      <c r="AK594" s="365"/>
      <c r="AL594" s="365"/>
      <c r="AM594" s="365"/>
    </row>
    <row r="595" spans="1:91" s="418" customFormat="1" hidden="1">
      <c r="A595" s="382" t="s">
        <v>17</v>
      </c>
      <c r="B595" s="1581" t="s">
        <v>492</v>
      </c>
      <c r="C595" s="1272"/>
      <c r="D595" s="1272"/>
      <c r="E595" s="1273"/>
      <c r="F595" s="1273"/>
      <c r="G595" s="1273"/>
      <c r="H595" s="1273"/>
      <c r="I595" s="1273"/>
      <c r="J595" s="1273"/>
      <c r="K595" s="1273"/>
      <c r="L595" s="979"/>
      <c r="M595" s="365"/>
      <c r="N595" s="365"/>
      <c r="O595" s="365"/>
      <c r="P595" s="365"/>
      <c r="Q595" s="365"/>
      <c r="R595" s="365"/>
      <c r="S595" s="365"/>
      <c r="T595" s="365"/>
      <c r="U595" s="365"/>
      <c r="V595" s="365"/>
      <c r="W595" s="365"/>
      <c r="X595" s="365"/>
      <c r="Y595" s="365"/>
      <c r="Z595" s="365"/>
      <c r="AA595" s="365"/>
      <c r="AB595" s="365"/>
      <c r="AC595" s="365"/>
      <c r="AD595" s="365"/>
      <c r="AE595" s="365"/>
      <c r="AF595" s="365"/>
      <c r="AG595" s="365"/>
      <c r="AH595" s="365"/>
      <c r="AI595" s="365"/>
      <c r="AJ595" s="365"/>
      <c r="AK595" s="365"/>
      <c r="AL595" s="365"/>
      <c r="AM595" s="365"/>
    </row>
    <row r="596" spans="1:91" s="418" customFormat="1" hidden="1">
      <c r="A596" s="382"/>
      <c r="B596" s="1581" t="s">
        <v>493</v>
      </c>
      <c r="C596" s="1272"/>
      <c r="D596" s="1272"/>
      <c r="E596" s="382"/>
      <c r="F596" s="382"/>
      <c r="G596" s="382"/>
      <c r="H596" s="382"/>
      <c r="I596" s="382"/>
      <c r="J596" s="382"/>
      <c r="K596" s="382"/>
      <c r="L596" s="979"/>
      <c r="M596" s="365"/>
      <c r="N596" s="365"/>
      <c r="O596" s="365"/>
      <c r="P596" s="365"/>
      <c r="Q596" s="365"/>
      <c r="R596" s="365"/>
      <c r="S596" s="365"/>
      <c r="T596" s="365"/>
      <c r="U596" s="365"/>
      <c r="V596" s="365"/>
      <c r="W596" s="365"/>
      <c r="X596" s="365"/>
      <c r="Y596" s="365"/>
      <c r="Z596" s="365"/>
      <c r="AA596" s="365"/>
      <c r="AB596" s="365"/>
      <c r="AC596" s="365"/>
      <c r="AD596" s="365"/>
      <c r="AE596" s="365"/>
      <c r="AF596" s="365"/>
      <c r="AG596" s="365"/>
      <c r="AH596" s="365"/>
      <c r="AI596" s="365"/>
      <c r="AJ596" s="365"/>
      <c r="AK596" s="365"/>
      <c r="AL596" s="365"/>
      <c r="AM596" s="365"/>
    </row>
    <row r="597" spans="1:91" s="418" customFormat="1" hidden="1">
      <c r="A597" s="382"/>
      <c r="B597" s="1581" t="s">
        <v>494</v>
      </c>
      <c r="C597" s="1272"/>
      <c r="D597" s="1272"/>
      <c r="E597" s="1273"/>
      <c r="F597" s="1273"/>
      <c r="G597" s="1273"/>
      <c r="H597" s="1273"/>
      <c r="I597" s="1273"/>
      <c r="J597" s="1273"/>
      <c r="K597" s="1273"/>
      <c r="L597" s="979"/>
      <c r="M597" s="365"/>
      <c r="N597" s="365"/>
      <c r="O597" s="365"/>
      <c r="P597" s="365"/>
      <c r="Q597" s="365"/>
      <c r="R597" s="365"/>
      <c r="S597" s="365"/>
      <c r="T597" s="365"/>
      <c r="U597" s="365"/>
      <c r="V597" s="365"/>
      <c r="W597" s="365"/>
      <c r="X597" s="365"/>
      <c r="Y597" s="365"/>
      <c r="Z597" s="365"/>
      <c r="AA597" s="365"/>
      <c r="AB597" s="365"/>
      <c r="AC597" s="365"/>
      <c r="AD597" s="365"/>
      <c r="AE597" s="365"/>
      <c r="AF597" s="365"/>
      <c r="AG597" s="365"/>
      <c r="AH597" s="365"/>
      <c r="AI597" s="365"/>
      <c r="AJ597" s="365"/>
      <c r="AK597" s="365"/>
      <c r="AL597" s="365"/>
      <c r="AM597" s="365"/>
    </row>
    <row r="598" spans="1:91" s="418" customFormat="1" hidden="1">
      <c r="A598" s="382" t="s">
        <v>306</v>
      </c>
      <c r="B598" s="1581" t="s">
        <v>495</v>
      </c>
      <c r="C598" s="1272"/>
      <c r="D598" s="1272"/>
      <c r="E598" s="382"/>
      <c r="F598" s="382"/>
      <c r="G598" s="382"/>
      <c r="H598" s="382"/>
      <c r="I598" s="382"/>
      <c r="J598" s="382"/>
      <c r="K598" s="382"/>
      <c r="L598" s="979"/>
      <c r="M598" s="365"/>
      <c r="N598" s="365"/>
      <c r="O598" s="365"/>
      <c r="P598" s="365"/>
      <c r="Q598" s="365"/>
      <c r="R598" s="365"/>
      <c r="S598" s="365"/>
      <c r="T598" s="365"/>
      <c r="U598" s="365"/>
      <c r="V598" s="365"/>
      <c r="W598" s="365"/>
      <c r="X598" s="365"/>
      <c r="Y598" s="365"/>
      <c r="Z598" s="365"/>
      <c r="AA598" s="365"/>
      <c r="AB598" s="365"/>
      <c r="AC598" s="365"/>
      <c r="AD598" s="365"/>
      <c r="AE598" s="365"/>
      <c r="AF598" s="365"/>
      <c r="AG598" s="365"/>
      <c r="AH598" s="365"/>
      <c r="AI598" s="365"/>
      <c r="AJ598" s="365"/>
      <c r="AK598" s="365"/>
      <c r="AL598" s="365"/>
      <c r="AM598" s="365"/>
    </row>
    <row r="599" spans="1:91" s="418" customFormat="1" ht="16.2" hidden="1" thickBot="1">
      <c r="A599" s="1274" t="s">
        <v>317</v>
      </c>
      <c r="B599" s="1275" t="s">
        <v>496</v>
      </c>
      <c r="C599" s="1276"/>
      <c r="D599" s="1276"/>
      <c r="E599" s="1277"/>
      <c r="F599" s="1277"/>
      <c r="G599" s="1277"/>
      <c r="H599" s="1277"/>
      <c r="I599" s="1277"/>
      <c r="J599" s="1277"/>
      <c r="K599" s="1277"/>
      <c r="L599" s="979"/>
      <c r="M599" s="365"/>
      <c r="N599" s="365"/>
      <c r="O599" s="365"/>
      <c r="P599" s="365"/>
      <c r="Q599" s="365"/>
      <c r="R599" s="365"/>
      <c r="S599" s="365"/>
      <c r="T599" s="365"/>
      <c r="U599" s="365"/>
      <c r="V599" s="365"/>
      <c r="W599" s="365"/>
      <c r="X599" s="365"/>
      <c r="Y599" s="365"/>
      <c r="Z599" s="365"/>
      <c r="AA599" s="365"/>
      <c r="AB599" s="365"/>
      <c r="AC599" s="365"/>
      <c r="AD599" s="365"/>
      <c r="AE599" s="365"/>
      <c r="AF599" s="365"/>
      <c r="AG599" s="365"/>
      <c r="AH599" s="365"/>
      <c r="AI599" s="365"/>
      <c r="AJ599" s="365"/>
      <c r="AK599" s="365"/>
      <c r="AL599" s="365"/>
      <c r="AM599" s="365"/>
    </row>
    <row r="600" spans="1:91" s="421" customFormat="1" ht="16.2" hidden="1" thickBot="1">
      <c r="A600" s="1179"/>
      <c r="B600" s="1606"/>
      <c r="C600" s="1607"/>
      <c r="D600" s="1607"/>
      <c r="E600" s="1608"/>
      <c r="F600" s="1608"/>
      <c r="G600" s="1608"/>
      <c r="H600" s="1608"/>
      <c r="I600" s="1608"/>
      <c r="J600" s="1608"/>
      <c r="K600" s="1609"/>
      <c r="L600" s="980"/>
      <c r="M600" s="307"/>
      <c r="N600" s="307"/>
      <c r="O600" s="307"/>
      <c r="P600" s="307"/>
      <c r="Q600" s="307"/>
      <c r="R600" s="307"/>
      <c r="S600" s="307"/>
      <c r="T600" s="307"/>
      <c r="U600" s="307"/>
      <c r="V600" s="307"/>
      <c r="W600" s="307"/>
      <c r="X600" s="307"/>
      <c r="Y600" s="307"/>
      <c r="Z600" s="307"/>
      <c r="AA600" s="307"/>
      <c r="AB600" s="307"/>
      <c r="AC600" s="307"/>
      <c r="AD600" s="307"/>
      <c r="AE600" s="307"/>
      <c r="AF600" s="307"/>
      <c r="AG600" s="307"/>
      <c r="AH600" s="307"/>
      <c r="AI600" s="307"/>
      <c r="AJ600" s="307"/>
      <c r="AK600" s="307"/>
      <c r="AL600" s="307"/>
      <c r="AM600" s="307"/>
      <c r="AN600" s="363"/>
      <c r="AO600" s="363"/>
    </row>
    <row r="601" spans="1:91" s="1577" customFormat="1" ht="18.600000000000001" thickBot="1">
      <c r="A601" s="1278" t="s">
        <v>497</v>
      </c>
      <c r="B601" s="1072"/>
      <c r="C601" s="1072"/>
      <c r="D601" s="1072"/>
      <c r="E601" s="1072"/>
      <c r="F601" s="1072"/>
      <c r="G601" s="1072"/>
      <c r="H601" s="1072"/>
      <c r="I601" s="1072"/>
      <c r="J601" s="1072"/>
      <c r="K601" s="1072"/>
      <c r="L601" s="1591"/>
      <c r="M601" s="1575"/>
      <c r="N601" s="1575"/>
      <c r="O601" s="1575"/>
      <c r="P601" s="1575"/>
      <c r="Q601" s="1575"/>
      <c r="R601" s="1575"/>
      <c r="S601" s="1575"/>
      <c r="T601" s="1575"/>
      <c r="U601" s="1575"/>
      <c r="V601" s="1575"/>
      <c r="W601" s="1575"/>
      <c r="X601" s="1575"/>
      <c r="Y601" s="1575"/>
      <c r="Z601" s="1575"/>
      <c r="AA601" s="1575"/>
      <c r="AB601" s="1575"/>
      <c r="AC601" s="1575"/>
      <c r="AD601" s="1575"/>
      <c r="AE601" s="1575"/>
      <c r="AF601" s="1575"/>
      <c r="AG601" s="1575"/>
      <c r="AH601" s="1575"/>
      <c r="AI601" s="1575"/>
      <c r="AJ601" s="1575"/>
      <c r="AK601" s="1575"/>
      <c r="AL601" s="1575"/>
      <c r="AM601" s="1575"/>
      <c r="AN601" s="1576"/>
      <c r="AO601" s="1576"/>
    </row>
    <row r="602" spans="1:91" s="364" customFormat="1" ht="162.75" customHeight="1" thickBot="1">
      <c r="A602" s="2250" t="s">
        <v>7</v>
      </c>
      <c r="B602" s="2251" t="s">
        <v>489</v>
      </c>
      <c r="C602" s="2251"/>
      <c r="D602" s="2129"/>
      <c r="E602" s="2130" t="str">
        <f>E589</f>
        <v>Przewidywane 
wykonanie 
w 2015</v>
      </c>
      <c r="F602" s="2130" t="str">
        <f>F589</f>
        <v>Projekt planu 
na 2016 r.</v>
      </c>
      <c r="G602" s="2131" t="str">
        <f>G589</f>
        <v>Plan  
na 2016 r.</v>
      </c>
      <c r="H602" s="2130"/>
      <c r="I602" s="2130" t="str">
        <f>I589</f>
        <v xml:space="preserve">Zmiany  </v>
      </c>
      <c r="J602" s="2130" t="str">
        <f>J589</f>
        <v xml:space="preserve">Plan wg. Ustawy Budżetowej zmieniony za zgodą MF z dnia 
28 kwietnia 2016 r. oraz 
opinią KFP z dnia 28 kwietnia 2016 r. </v>
      </c>
      <c r="K602" s="2130" t="e">
        <f>K589</f>
        <v>#REF!</v>
      </c>
      <c r="L602" s="980"/>
      <c r="M602" s="307"/>
      <c r="N602" s="307"/>
      <c r="O602" s="307"/>
      <c r="P602" s="307"/>
      <c r="Q602" s="307"/>
      <c r="R602" s="307"/>
      <c r="S602" s="307"/>
      <c r="T602" s="307"/>
      <c r="U602" s="307"/>
      <c r="V602" s="307"/>
      <c r="W602" s="307"/>
      <c r="X602" s="307"/>
      <c r="Y602" s="307"/>
      <c r="Z602" s="307"/>
      <c r="AA602" s="307"/>
      <c r="AB602" s="307"/>
      <c r="AC602" s="307"/>
      <c r="AD602" s="307"/>
      <c r="AE602" s="307"/>
      <c r="AF602" s="307"/>
      <c r="AG602" s="307"/>
      <c r="AH602" s="307"/>
      <c r="AI602" s="307"/>
      <c r="AJ602" s="307"/>
      <c r="AK602" s="307"/>
      <c r="AL602" s="307"/>
      <c r="AM602" s="307"/>
      <c r="AN602" s="363"/>
      <c r="AO602" s="363"/>
    </row>
    <row r="603" spans="1:91" s="364" customFormat="1" ht="16.5" customHeight="1" thickBot="1">
      <c r="A603" s="2250"/>
      <c r="B603" s="2251"/>
      <c r="C603" s="2251"/>
      <c r="D603" s="2132"/>
      <c r="E603" s="2133" t="str">
        <f>E590</f>
        <v>w tysiącach złotych</v>
      </c>
      <c r="F603" s="2134"/>
      <c r="G603" s="2243" t="s">
        <v>9</v>
      </c>
      <c r="H603" s="2244"/>
      <c r="I603" s="2244"/>
      <c r="J603" s="2244"/>
      <c r="K603" s="2245"/>
      <c r="L603" s="980"/>
      <c r="M603" s="307"/>
      <c r="N603" s="307"/>
      <c r="O603" s="307"/>
      <c r="P603" s="307"/>
      <c r="Q603" s="307"/>
      <c r="R603" s="307"/>
      <c r="S603" s="307"/>
      <c r="T603" s="307"/>
      <c r="U603" s="307"/>
      <c r="V603" s="307"/>
      <c r="W603" s="307"/>
      <c r="X603" s="307"/>
      <c r="Y603" s="307"/>
      <c r="Z603" s="307"/>
      <c r="AA603" s="307"/>
      <c r="AB603" s="307"/>
      <c r="AC603" s="307"/>
      <c r="AD603" s="307"/>
      <c r="AE603" s="307"/>
      <c r="AF603" s="307"/>
      <c r="AG603" s="307"/>
      <c r="AH603" s="307"/>
      <c r="AI603" s="307"/>
      <c r="AJ603" s="307"/>
      <c r="AK603" s="307"/>
      <c r="AL603" s="307"/>
      <c r="AM603" s="307"/>
      <c r="AN603" s="363"/>
      <c r="AO603" s="363"/>
      <c r="AP603" s="363"/>
      <c r="AQ603" s="363"/>
      <c r="AR603" s="363"/>
      <c r="AS603" s="363"/>
      <c r="AT603" s="363"/>
      <c r="AU603" s="363"/>
      <c r="AV603" s="363"/>
      <c r="AW603" s="363"/>
      <c r="AX603" s="363"/>
      <c r="AY603" s="363"/>
      <c r="AZ603" s="363"/>
      <c r="BA603" s="363"/>
      <c r="BB603" s="363"/>
      <c r="BC603" s="363"/>
      <c r="BD603" s="363"/>
      <c r="BE603" s="363"/>
      <c r="BF603" s="363"/>
      <c r="BG603" s="363"/>
      <c r="BH603" s="363"/>
      <c r="BI603" s="363"/>
      <c r="BJ603" s="363"/>
      <c r="BK603" s="363"/>
      <c r="BL603" s="363"/>
      <c r="BM603" s="363"/>
      <c r="BN603" s="363"/>
      <c r="BO603" s="363"/>
      <c r="BP603" s="363"/>
      <c r="BQ603" s="363"/>
      <c r="BR603" s="363"/>
      <c r="BS603" s="363"/>
      <c r="BT603" s="363"/>
      <c r="BU603" s="363"/>
      <c r="BV603" s="363"/>
      <c r="BW603" s="363"/>
      <c r="BX603" s="363"/>
      <c r="BY603" s="363"/>
      <c r="BZ603" s="363"/>
      <c r="CA603" s="363"/>
      <c r="CB603" s="363"/>
      <c r="CC603" s="363"/>
      <c r="CD603" s="363"/>
      <c r="CE603" s="363"/>
      <c r="CF603" s="363"/>
      <c r="CG603" s="363"/>
      <c r="CH603" s="363"/>
      <c r="CI603" s="363"/>
      <c r="CJ603" s="363"/>
      <c r="CK603" s="363"/>
      <c r="CL603" s="363"/>
      <c r="CM603" s="363"/>
    </row>
    <row r="604" spans="1:91" s="364" customFormat="1" ht="18.600000000000001" thickBot="1">
      <c r="A604" s="2124">
        <v>1</v>
      </c>
      <c r="B604" s="383">
        <v>2</v>
      </c>
      <c r="C604" s="384"/>
      <c r="D604" s="384"/>
      <c r="E604" s="385">
        <v>3</v>
      </c>
      <c r="F604" s="386">
        <v>4</v>
      </c>
      <c r="G604" s="1195">
        <v>3</v>
      </c>
      <c r="H604" s="386"/>
      <c r="I604" s="386">
        <v>4</v>
      </c>
      <c r="J604" s="386">
        <v>5</v>
      </c>
      <c r="K604" s="386">
        <v>7</v>
      </c>
      <c r="L604" s="980"/>
      <c r="M604" s="307"/>
      <c r="N604" s="307"/>
      <c r="O604" s="307"/>
      <c r="P604" s="307"/>
      <c r="Q604" s="307"/>
      <c r="R604" s="307"/>
      <c r="S604" s="307"/>
      <c r="T604" s="307"/>
      <c r="U604" s="307"/>
      <c r="V604" s="307"/>
      <c r="W604" s="307"/>
      <c r="X604" s="307"/>
      <c r="Y604" s="307"/>
      <c r="Z604" s="307"/>
      <c r="AA604" s="307"/>
      <c r="AB604" s="307"/>
      <c r="AC604" s="307"/>
      <c r="AD604" s="307"/>
      <c r="AE604" s="307"/>
      <c r="AF604" s="307"/>
      <c r="AG604" s="307"/>
      <c r="AH604" s="307"/>
      <c r="AI604" s="307"/>
      <c r="AJ604" s="307"/>
      <c r="AK604" s="307"/>
      <c r="AL604" s="307"/>
      <c r="AM604" s="307"/>
      <c r="AN604" s="363"/>
      <c r="AO604" s="363"/>
      <c r="AP604" s="363"/>
      <c r="AQ604" s="363"/>
      <c r="AR604" s="363"/>
      <c r="AS604" s="363"/>
      <c r="AT604" s="363"/>
      <c r="AU604" s="363"/>
      <c r="AV604" s="363"/>
      <c r="AW604" s="363"/>
      <c r="AX604" s="363"/>
      <c r="AY604" s="363"/>
      <c r="AZ604" s="363"/>
      <c r="BA604" s="363"/>
      <c r="BB604" s="363"/>
      <c r="BC604" s="363"/>
      <c r="BD604" s="363"/>
      <c r="BE604" s="363"/>
      <c r="BF604" s="363"/>
      <c r="BG604" s="363"/>
      <c r="BH604" s="363"/>
      <c r="BI604" s="363"/>
      <c r="BJ604" s="363"/>
      <c r="BK604" s="363"/>
      <c r="BL604" s="363"/>
      <c r="BM604" s="363"/>
      <c r="BN604" s="363"/>
      <c r="BO604" s="363"/>
      <c r="BP604" s="363"/>
      <c r="BQ604" s="363"/>
      <c r="BR604" s="363"/>
      <c r="BS604" s="363"/>
      <c r="BT604" s="363"/>
      <c r="BU604" s="363"/>
      <c r="BV604" s="363"/>
      <c r="BW604" s="363"/>
      <c r="BX604" s="363"/>
      <c r="BY604" s="363"/>
      <c r="BZ604" s="363"/>
      <c r="CA604" s="363"/>
      <c r="CB604" s="363"/>
      <c r="CC604" s="363"/>
      <c r="CD604" s="363"/>
      <c r="CE604" s="363"/>
      <c r="CF604" s="363"/>
      <c r="CG604" s="363"/>
      <c r="CH604" s="363"/>
      <c r="CI604" s="363"/>
      <c r="CJ604" s="363"/>
      <c r="CK604" s="363"/>
      <c r="CL604" s="363"/>
      <c r="CM604" s="363"/>
    </row>
    <row r="605" spans="1:91" s="423" customFormat="1" ht="12.75" customHeight="1" thickBot="1">
      <c r="A605" s="2125"/>
      <c r="B605" s="2235" t="s">
        <v>498</v>
      </c>
      <c r="C605" s="2235"/>
      <c r="D605" s="1022"/>
      <c r="E605" s="1021"/>
      <c r="F605" s="1021"/>
      <c r="G605" s="1021"/>
      <c r="H605" s="1021"/>
      <c r="I605" s="1021"/>
      <c r="J605" s="1021"/>
      <c r="K605" s="1021"/>
      <c r="L605" s="982"/>
      <c r="M605" s="422"/>
      <c r="N605" s="422"/>
      <c r="O605" s="422"/>
      <c r="P605" s="422"/>
      <c r="Q605" s="422"/>
      <c r="R605" s="422"/>
      <c r="S605" s="422"/>
      <c r="T605" s="422"/>
      <c r="U605" s="422"/>
      <c r="V605" s="422"/>
      <c r="W605" s="422"/>
      <c r="X605" s="422"/>
      <c r="Y605" s="422"/>
      <c r="Z605" s="422"/>
      <c r="AA605" s="422"/>
      <c r="AB605" s="422"/>
      <c r="AC605" s="422"/>
      <c r="AD605" s="422"/>
      <c r="AE605" s="422"/>
      <c r="AF605" s="422"/>
      <c r="AG605" s="422"/>
      <c r="AH605" s="422"/>
      <c r="AI605" s="422"/>
      <c r="AJ605" s="422"/>
      <c r="AK605" s="422"/>
      <c r="AL605" s="422"/>
      <c r="AM605" s="422"/>
      <c r="AN605" s="422"/>
      <c r="AO605" s="422"/>
      <c r="AP605" s="422"/>
      <c r="AQ605" s="422"/>
      <c r="AR605" s="422"/>
      <c r="AS605" s="422"/>
      <c r="AT605" s="422"/>
      <c r="AU605" s="422"/>
      <c r="AV605" s="422"/>
      <c r="AW605" s="422"/>
      <c r="AX605" s="422"/>
      <c r="AY605" s="422"/>
      <c r="AZ605" s="422"/>
      <c r="BA605" s="422"/>
      <c r="BB605" s="422"/>
      <c r="BC605" s="422"/>
      <c r="BD605" s="422"/>
      <c r="BE605" s="422"/>
      <c r="BF605" s="422"/>
      <c r="BG605" s="422"/>
      <c r="BH605" s="422"/>
      <c r="BI605" s="422"/>
      <c r="BJ605" s="422"/>
      <c r="BK605" s="422"/>
      <c r="BL605" s="422"/>
      <c r="BM605" s="422"/>
      <c r="BN605" s="422"/>
      <c r="BO605" s="422"/>
      <c r="BP605" s="422"/>
      <c r="BQ605" s="422"/>
      <c r="BR605" s="422"/>
      <c r="BS605" s="422"/>
      <c r="BT605" s="422"/>
      <c r="BU605" s="422"/>
      <c r="BV605" s="422"/>
      <c r="BW605" s="422"/>
      <c r="BX605" s="422"/>
      <c r="BY605" s="422"/>
      <c r="BZ605" s="422"/>
      <c r="CA605" s="422"/>
      <c r="CB605" s="422"/>
      <c r="CC605" s="422"/>
      <c r="CD605" s="422"/>
      <c r="CE605" s="422"/>
      <c r="CF605" s="422"/>
      <c r="CG605" s="422"/>
      <c r="CH605" s="422"/>
      <c r="CI605" s="422"/>
      <c r="CJ605" s="422"/>
      <c r="CK605" s="422"/>
      <c r="CL605" s="422"/>
      <c r="CM605" s="422"/>
    </row>
    <row r="606" spans="1:91" s="424" customFormat="1" ht="29.25" customHeight="1" thickBot="1">
      <c r="A606" s="2126">
        <v>1</v>
      </c>
      <c r="B606" s="2235"/>
      <c r="C606" s="2235"/>
      <c r="D606" s="1023"/>
      <c r="E606" s="1024">
        <f>E607+E608</f>
        <v>339916000</v>
      </c>
      <c r="F606" s="1024">
        <f>F607+F608</f>
        <v>-100000</v>
      </c>
      <c r="G606" s="2118">
        <f>G607+G608</f>
        <v>198328000</v>
      </c>
      <c r="H606" s="2118"/>
      <c r="I606" s="2118">
        <f>I607+I608</f>
        <v>0</v>
      </c>
      <c r="J606" s="2118">
        <f>J607+J608</f>
        <v>198328000</v>
      </c>
      <c r="K606" s="1024">
        <f>K607+K608</f>
        <v>459302000</v>
      </c>
      <c r="L606" s="982"/>
      <c r="M606" s="422"/>
      <c r="N606" s="422"/>
      <c r="O606" s="422"/>
      <c r="P606" s="422"/>
      <c r="Q606" s="422"/>
      <c r="R606" s="422"/>
      <c r="S606" s="422"/>
      <c r="T606" s="422"/>
      <c r="U606" s="422"/>
      <c r="V606" s="422"/>
      <c r="W606" s="422"/>
      <c r="X606" s="422"/>
      <c r="Y606" s="422"/>
      <c r="Z606" s="422"/>
      <c r="AA606" s="958">
        <f>E328</f>
        <v>340016000</v>
      </c>
      <c r="AB606" s="958"/>
      <c r="AC606" s="958"/>
      <c r="AD606" s="958">
        <f>H328</f>
        <v>198428000</v>
      </c>
      <c r="AE606" s="958">
        <f>I328</f>
        <v>0</v>
      </c>
      <c r="AF606" s="958">
        <f>J328</f>
        <v>198428000</v>
      </c>
      <c r="AG606" s="958" t="e">
        <f>K328</f>
        <v>#REF!</v>
      </c>
      <c r="AH606" s="958"/>
      <c r="AI606" s="422"/>
      <c r="AJ606" s="422"/>
      <c r="AK606" s="422"/>
      <c r="AL606" s="422"/>
      <c r="AM606" s="422"/>
      <c r="AN606" s="422"/>
      <c r="AO606" s="422"/>
      <c r="AP606" s="422"/>
      <c r="AQ606" s="422"/>
      <c r="AR606" s="422"/>
      <c r="AS606" s="422"/>
      <c r="AT606" s="422"/>
      <c r="AU606" s="422"/>
      <c r="AV606" s="422"/>
      <c r="AW606" s="422"/>
      <c r="AX606" s="422"/>
      <c r="AY606" s="422"/>
      <c r="AZ606" s="422"/>
      <c r="BA606" s="422"/>
      <c r="BB606" s="422"/>
      <c r="BC606" s="422"/>
      <c r="BD606" s="422"/>
      <c r="BE606" s="422"/>
      <c r="BF606" s="422"/>
      <c r="BG606" s="422"/>
      <c r="BH606" s="422"/>
      <c r="BI606" s="422"/>
      <c r="BJ606" s="422"/>
      <c r="BK606" s="422"/>
      <c r="BL606" s="422"/>
      <c r="BM606" s="422"/>
      <c r="BN606" s="422"/>
      <c r="BO606" s="422"/>
      <c r="BP606" s="422"/>
      <c r="BQ606" s="422"/>
      <c r="BR606" s="422"/>
      <c r="BS606" s="422"/>
      <c r="BT606" s="422"/>
      <c r="BU606" s="422"/>
      <c r="BV606" s="422"/>
      <c r="BW606" s="422"/>
      <c r="BX606" s="422"/>
      <c r="BY606" s="422"/>
      <c r="BZ606" s="422"/>
      <c r="CA606" s="422"/>
      <c r="CB606" s="422"/>
      <c r="CC606" s="422"/>
      <c r="CD606" s="422"/>
      <c r="CE606" s="422"/>
      <c r="CF606" s="422"/>
      <c r="CG606" s="422"/>
      <c r="CH606" s="422"/>
      <c r="CI606" s="422"/>
      <c r="CJ606" s="422"/>
      <c r="CK606" s="422"/>
      <c r="CL606" s="422"/>
      <c r="CM606" s="422"/>
    </row>
    <row r="607" spans="1:91" s="364" customFormat="1" ht="18">
      <c r="A607" s="2127" t="s">
        <v>16</v>
      </c>
      <c r="B607" s="2120" t="s">
        <v>324</v>
      </c>
      <c r="C607" s="2121"/>
      <c r="D607" s="419"/>
      <c r="E607" s="951">
        <f>'Pl 2016-20 PFC'!E607</f>
        <v>239916000</v>
      </c>
      <c r="F607" s="951">
        <f>F328-100000</f>
        <v>-100000</v>
      </c>
      <c r="G607" s="2119">
        <f>G328-100000</f>
        <v>198328000</v>
      </c>
      <c r="H607" s="2119">
        <f>H328-100000</f>
        <v>198328000</v>
      </c>
      <c r="I607" s="2119">
        <f>I328</f>
        <v>0</v>
      </c>
      <c r="J607" s="2119">
        <f>'Pl 2016-20 PFC'!I607</f>
        <v>198328000</v>
      </c>
      <c r="K607" s="951">
        <v>259302000</v>
      </c>
      <c r="L607" s="980"/>
      <c r="M607" s="307"/>
      <c r="N607" s="307"/>
      <c r="O607" s="307"/>
      <c r="P607" s="307"/>
      <c r="Q607" s="307"/>
      <c r="R607" s="307"/>
      <c r="S607" s="307"/>
      <c r="T607" s="307"/>
      <c r="U607" s="307"/>
      <c r="V607" s="307"/>
      <c r="W607" s="307"/>
      <c r="X607" s="307"/>
      <c r="Y607" s="307"/>
      <c r="Z607" s="307"/>
      <c r="AA607" s="959">
        <f>AA606-100000</f>
        <v>339916000</v>
      </c>
      <c r="AB607" s="959"/>
      <c r="AC607" s="959"/>
      <c r="AD607" s="959">
        <f>AD606-100000</f>
        <v>198328000</v>
      </c>
      <c r="AE607" s="959">
        <f>AE606-100000</f>
        <v>-100000</v>
      </c>
      <c r="AF607" s="959">
        <f>AF606-100000</f>
        <v>198328000</v>
      </c>
      <c r="AG607" s="959" t="e">
        <f>AG606-100000</f>
        <v>#REF!</v>
      </c>
      <c r="AH607" s="307"/>
      <c r="AI607" s="307"/>
      <c r="AJ607" s="307"/>
      <c r="AK607" s="307"/>
      <c r="AL607" s="307"/>
      <c r="AM607" s="307"/>
      <c r="AN607" s="363"/>
      <c r="AO607" s="363"/>
    </row>
    <row r="608" spans="1:91" s="364" customFormat="1" ht="18.600000000000001" thickBot="1">
      <c r="A608" s="2128" t="s">
        <v>17</v>
      </c>
      <c r="B608" s="2122" t="s">
        <v>326</v>
      </c>
      <c r="C608" s="2123"/>
      <c r="D608" s="425"/>
      <c r="E608" s="954">
        <v>100000000</v>
      </c>
      <c r="F608" s="420">
        <f>'Pl 2016-20 PFC'!F608</f>
        <v>0</v>
      </c>
      <c r="G608" s="1612">
        <f>'Pl 2016-20 PFC'!G608</f>
        <v>0</v>
      </c>
      <c r="H608" s="1356"/>
      <c r="I608" s="1356">
        <f>'Pl 2016-20 PFC'!H608</f>
        <v>0</v>
      </c>
      <c r="J608" s="1357">
        <v>0</v>
      </c>
      <c r="K608" s="954">
        <v>200000000</v>
      </c>
      <c r="L608" s="841"/>
      <c r="M608" s="307"/>
      <c r="N608" s="307"/>
      <c r="O608" s="307"/>
      <c r="P608" s="307"/>
      <c r="Q608" s="307"/>
      <c r="R608" s="307"/>
      <c r="S608" s="307"/>
      <c r="T608" s="307"/>
      <c r="U608" s="307"/>
      <c r="V608" s="307"/>
      <c r="W608" s="307"/>
      <c r="X608" s="307"/>
      <c r="Y608" s="307"/>
      <c r="Z608" s="307"/>
      <c r="AA608" s="959">
        <f>E606-AA607</f>
        <v>0</v>
      </c>
      <c r="AB608" s="959"/>
      <c r="AC608" s="959"/>
      <c r="AD608" s="959">
        <f>G606-AD607</f>
        <v>0</v>
      </c>
      <c r="AE608" s="959">
        <f>I606-AE607</f>
        <v>100000</v>
      </c>
      <c r="AF608" s="959">
        <f>J606-AF607</f>
        <v>0</v>
      </c>
      <c r="AG608" s="959" t="e">
        <f>K606-AG607</f>
        <v>#REF!</v>
      </c>
      <c r="AH608" s="307"/>
      <c r="AI608" s="307"/>
      <c r="AJ608" s="307"/>
      <c r="AK608" s="307"/>
      <c r="AL608" s="307"/>
      <c r="AM608" s="307"/>
      <c r="AN608" s="363"/>
      <c r="AO608" s="363"/>
    </row>
    <row r="609" spans="1:16">
      <c r="E609" s="428"/>
      <c r="F609" s="428"/>
      <c r="G609" s="1301"/>
      <c r="H609" s="428"/>
      <c r="I609" s="428"/>
      <c r="J609" s="428"/>
      <c r="K609" s="428"/>
      <c r="L609" s="842"/>
    </row>
    <row r="610" spans="1:16" hidden="1">
      <c r="A610" s="313" t="s">
        <v>499</v>
      </c>
      <c r="B610" s="2246" t="s">
        <v>500</v>
      </c>
      <c r="C610" s="2246"/>
      <c r="D610" s="2246"/>
      <c r="E610" s="2246"/>
      <c r="F610" s="2246"/>
      <c r="G610" s="2246"/>
      <c r="H610" s="2246"/>
      <c r="I610" s="2246"/>
      <c r="J610" s="2246"/>
      <c r="K610" s="429"/>
      <c r="L610" s="842"/>
    </row>
    <row r="611" spans="1:16" hidden="1">
      <c r="A611" s="313" t="s">
        <v>499</v>
      </c>
      <c r="B611" s="2247" t="s">
        <v>501</v>
      </c>
      <c r="C611" s="2247"/>
      <c r="D611" s="2247"/>
      <c r="E611" s="2247"/>
      <c r="F611" s="2247"/>
      <c r="G611" s="2247"/>
      <c r="H611" s="2247"/>
      <c r="I611" s="2247"/>
      <c r="J611" s="2247"/>
      <c r="K611" s="429"/>
      <c r="L611" s="842"/>
    </row>
    <row r="612" spans="1:16">
      <c r="A612" s="313" t="s">
        <v>1141</v>
      </c>
      <c r="B612" s="430" t="s">
        <v>1142</v>
      </c>
      <c r="C612" s="431">
        <f>E58</f>
        <v>29870000</v>
      </c>
      <c r="D612" s="431"/>
      <c r="E612" s="430" t="s">
        <v>502</v>
      </c>
      <c r="F612" s="430"/>
      <c r="G612" s="1302"/>
      <c r="H612" s="430"/>
      <c r="I612" s="430"/>
      <c r="J612" s="430"/>
      <c r="K612" s="429"/>
      <c r="L612" s="842"/>
    </row>
    <row r="613" spans="1:16">
      <c r="A613" s="313" t="s">
        <v>1141</v>
      </c>
      <c r="B613" s="430" t="s">
        <v>1137</v>
      </c>
      <c r="C613" s="431">
        <f>F58</f>
        <v>45900000</v>
      </c>
      <c r="D613" s="431"/>
      <c r="E613" s="430" t="s">
        <v>502</v>
      </c>
      <c r="F613" s="430"/>
      <c r="G613" s="1302"/>
      <c r="H613" s="430"/>
      <c r="I613" s="430"/>
      <c r="J613" s="430"/>
      <c r="K613" s="429"/>
      <c r="L613" s="842"/>
    </row>
    <row r="614" spans="1:16" hidden="1">
      <c r="A614" s="313" t="s">
        <v>499</v>
      </c>
      <c r="B614" s="430" t="s">
        <v>508</v>
      </c>
      <c r="C614" s="431">
        <f>I58</f>
        <v>0</v>
      </c>
      <c r="D614" s="431"/>
      <c r="E614" s="430" t="s">
        <v>502</v>
      </c>
      <c r="F614" s="430"/>
      <c r="G614" s="1302"/>
      <c r="H614" s="430"/>
      <c r="I614" s="430"/>
      <c r="J614" s="430"/>
      <c r="L614" s="842"/>
    </row>
    <row r="615" spans="1:16" ht="18.75" hidden="1" customHeight="1">
      <c r="A615" s="313"/>
      <c r="B615" s="430"/>
      <c r="C615" s="431">
        <f t="shared" ref="C615:C621" si="23">E61</f>
        <v>1650000</v>
      </c>
      <c r="D615" s="431"/>
      <c r="E615" s="430" t="s">
        <v>502</v>
      </c>
      <c r="F615" s="430"/>
      <c r="G615" s="1302"/>
      <c r="H615" s="430"/>
      <c r="I615" s="430"/>
      <c r="J615" s="430"/>
      <c r="L615" s="842"/>
    </row>
    <row r="616" spans="1:16" ht="15.75" hidden="1" customHeight="1">
      <c r="A616" s="313"/>
      <c r="B616" s="430" t="s">
        <v>503</v>
      </c>
      <c r="C616" s="431">
        <f t="shared" si="23"/>
        <v>0</v>
      </c>
      <c r="D616" s="431"/>
      <c r="E616" s="430" t="s">
        <v>502</v>
      </c>
      <c r="F616" s="430"/>
      <c r="G616" s="1302"/>
      <c r="H616" s="430"/>
      <c r="I616" s="430"/>
      <c r="J616" s="430"/>
      <c r="L616" s="842"/>
    </row>
    <row r="617" spans="1:16" ht="18.75" hidden="1" customHeight="1">
      <c r="A617" s="313"/>
      <c r="B617" s="430" t="s">
        <v>504</v>
      </c>
      <c r="C617" s="431">
        <f t="shared" si="23"/>
        <v>0</v>
      </c>
      <c r="D617" s="431"/>
      <c r="E617" s="430" t="s">
        <v>502</v>
      </c>
      <c r="F617" s="430"/>
      <c r="G617" s="1302"/>
      <c r="H617" s="430"/>
      <c r="I617" s="430"/>
      <c r="J617" s="430"/>
      <c r="L617" s="842"/>
    </row>
    <row r="618" spans="1:16" ht="18.75" hidden="1" customHeight="1">
      <c r="A618" s="313"/>
      <c r="B618" s="430" t="s">
        <v>505</v>
      </c>
      <c r="C618" s="431">
        <f t="shared" si="23"/>
        <v>0</v>
      </c>
      <c r="D618" s="431"/>
      <c r="E618" s="430" t="s">
        <v>502</v>
      </c>
      <c r="F618" s="430"/>
      <c r="G618" s="1302"/>
      <c r="H618" s="430"/>
      <c r="I618" s="430"/>
      <c r="J618" s="430"/>
      <c r="L618" s="842"/>
    </row>
    <row r="619" spans="1:16" ht="18.75" hidden="1" customHeight="1">
      <c r="A619" s="313"/>
      <c r="B619" s="430" t="s">
        <v>506</v>
      </c>
      <c r="C619" s="431">
        <f t="shared" si="23"/>
        <v>0</v>
      </c>
      <c r="D619" s="431"/>
      <c r="E619" s="430" t="s">
        <v>502</v>
      </c>
      <c r="F619" s="430"/>
      <c r="G619" s="1302"/>
      <c r="H619" s="430"/>
      <c r="I619" s="430"/>
      <c r="J619" s="430"/>
      <c r="L619" s="842"/>
    </row>
    <row r="620" spans="1:16" ht="18.75" hidden="1" customHeight="1">
      <c r="A620" s="313"/>
      <c r="B620" s="430"/>
      <c r="C620" s="432" t="str">
        <f t="shared" si="23"/>
        <v>Przewidywane 
wykonanie 
w 2015</v>
      </c>
      <c r="D620" s="432"/>
      <c r="E620" s="430" t="s">
        <v>502</v>
      </c>
      <c r="F620" s="430"/>
      <c r="G620" s="1302"/>
      <c r="H620" s="430"/>
      <c r="I620" s="430"/>
      <c r="J620" s="430"/>
      <c r="L620" s="842"/>
    </row>
    <row r="621" spans="1:16" ht="15.75" hidden="1" customHeight="1">
      <c r="A621" s="313"/>
      <c r="B621" s="430" t="s">
        <v>508</v>
      </c>
      <c r="C621" s="431" t="str">
        <f t="shared" si="23"/>
        <v>w tysiącach złotych</v>
      </c>
      <c r="D621" s="431"/>
      <c r="E621" s="430" t="s">
        <v>502</v>
      </c>
      <c r="F621" s="430"/>
      <c r="G621" s="1302"/>
      <c r="H621" s="430"/>
      <c r="I621" s="430"/>
      <c r="J621" s="430"/>
      <c r="L621" s="842"/>
    </row>
    <row r="622" spans="1:16" hidden="1">
      <c r="A622" s="313" t="s">
        <v>499</v>
      </c>
      <c r="B622" s="430" t="s">
        <v>658</v>
      </c>
      <c r="C622" s="431">
        <f>J58</f>
        <v>45489000</v>
      </c>
      <c r="D622" s="431"/>
      <c r="E622" s="430" t="s">
        <v>502</v>
      </c>
      <c r="F622" s="430"/>
      <c r="G622" s="1302"/>
      <c r="H622" s="430"/>
      <c r="I622" s="430"/>
      <c r="J622" s="430"/>
      <c r="L622" s="842"/>
    </row>
    <row r="623" spans="1:16" hidden="1">
      <c r="A623" s="313" t="s">
        <v>499</v>
      </c>
      <c r="B623" s="430" t="s">
        <v>1053</v>
      </c>
      <c r="C623" s="431" t="e">
        <f>K58</f>
        <v>#REF!</v>
      </c>
      <c r="D623" s="431"/>
      <c r="E623" s="430" t="s">
        <v>502</v>
      </c>
      <c r="L623" s="842"/>
    </row>
    <row r="624" spans="1:16" hidden="1">
      <c r="A624" s="313"/>
      <c r="B624" s="430"/>
      <c r="C624" s="431"/>
      <c r="D624" s="431"/>
      <c r="E624" s="430"/>
      <c r="L624" s="842"/>
      <c r="P624" s="307" t="s">
        <v>565</v>
      </c>
    </row>
    <row r="625" spans="1:12" ht="18.600000000000001" hidden="1" thickBot="1">
      <c r="A625" s="816" t="s">
        <v>1041</v>
      </c>
      <c r="B625" s="817"/>
      <c r="C625" s="818"/>
      <c r="D625" s="818"/>
      <c r="E625" s="819"/>
      <c r="F625" s="342"/>
      <c r="G625" s="1042"/>
      <c r="H625" s="342"/>
      <c r="I625" s="342"/>
      <c r="J625" s="342"/>
      <c r="K625" s="342"/>
      <c r="L625" s="842"/>
    </row>
    <row r="626" spans="1:12" hidden="1">
      <c r="A626" s="820"/>
      <c r="B626" s="820"/>
      <c r="C626" s="820"/>
      <c r="D626" s="821" t="s">
        <v>1019</v>
      </c>
      <c r="E626" s="1016" t="s">
        <v>1019</v>
      </c>
      <c r="F626" s="822" t="s">
        <v>1020</v>
      </c>
      <c r="G626" s="1312" t="s">
        <v>1020</v>
      </c>
      <c r="H626" s="342"/>
      <c r="I626" s="822" t="s">
        <v>1021</v>
      </c>
      <c r="J626" s="822" t="s">
        <v>1021</v>
      </c>
      <c r="K626" s="822" t="s">
        <v>1021</v>
      </c>
      <c r="L626" s="822" t="s">
        <v>1021</v>
      </c>
    </row>
    <row r="627" spans="1:12" hidden="1">
      <c r="A627" s="823" t="s">
        <v>7</v>
      </c>
      <c r="B627" s="823" t="s">
        <v>489</v>
      </c>
      <c r="C627" s="823" t="s">
        <v>1035</v>
      </c>
      <c r="D627" s="823" t="s">
        <v>1022</v>
      </c>
      <c r="E627" s="1017" t="s">
        <v>1022</v>
      </c>
      <c r="F627" s="824" t="s">
        <v>1023</v>
      </c>
      <c r="G627" s="1317" t="s">
        <v>1023</v>
      </c>
      <c r="H627" s="342"/>
      <c r="I627" s="824" t="s">
        <v>1024</v>
      </c>
      <c r="J627" s="824" t="s">
        <v>1024</v>
      </c>
      <c r="K627" s="824" t="s">
        <v>1024</v>
      </c>
      <c r="L627" s="824" t="s">
        <v>1024</v>
      </c>
    </row>
    <row r="628" spans="1:12" ht="16.2" hidden="1" thickBot="1">
      <c r="A628" s="823"/>
      <c r="B628" s="823"/>
      <c r="C628" s="836"/>
      <c r="D628" s="823" t="s">
        <v>1025</v>
      </c>
      <c r="E628" s="1018" t="s">
        <v>1025</v>
      </c>
      <c r="F628" s="1019" t="s">
        <v>1026</v>
      </c>
      <c r="G628" s="1323" t="s">
        <v>1026</v>
      </c>
      <c r="H628" s="342"/>
      <c r="I628" s="824" t="s">
        <v>1027</v>
      </c>
      <c r="J628" s="824" t="s">
        <v>1028</v>
      </c>
      <c r="K628" s="824" t="s">
        <v>1029</v>
      </c>
      <c r="L628" s="824" t="s">
        <v>1030</v>
      </c>
    </row>
    <row r="629" spans="1:12" ht="16.5" hidden="1" customHeight="1" thickBot="1">
      <c r="A629" s="825"/>
      <c r="B629" s="825"/>
      <c r="C629" s="825"/>
      <c r="D629" s="975" t="s">
        <v>9</v>
      </c>
      <c r="E629" s="976"/>
      <c r="F629" s="976"/>
      <c r="G629" s="1326"/>
      <c r="H629" s="976"/>
      <c r="I629" s="976"/>
      <c r="J629" s="976"/>
      <c r="K629" s="976"/>
      <c r="L629" s="977"/>
    </row>
    <row r="630" spans="1:12" ht="16.2" hidden="1" thickBot="1">
      <c r="A630" s="826">
        <v>1</v>
      </c>
      <c r="B630" s="826">
        <v>2</v>
      </c>
      <c r="C630" s="826">
        <v>3</v>
      </c>
      <c r="D630" s="823">
        <v>4</v>
      </c>
      <c r="E630" s="823">
        <v>4</v>
      </c>
      <c r="F630" s="823">
        <v>5</v>
      </c>
      <c r="G630" s="1314">
        <v>5</v>
      </c>
      <c r="H630" s="342"/>
      <c r="I630" s="823">
        <v>6</v>
      </c>
      <c r="J630" s="823">
        <v>7</v>
      </c>
      <c r="K630" s="823">
        <v>8</v>
      </c>
      <c r="L630" s="823">
        <v>9</v>
      </c>
    </row>
    <row r="631" spans="1:12" ht="16.2" hidden="1" thickBot="1">
      <c r="A631" s="969" t="s">
        <v>515</v>
      </c>
      <c r="B631" s="970" t="s">
        <v>1039</v>
      </c>
      <c r="C631" s="969"/>
      <c r="D631" s="969"/>
      <c r="E631" s="1034">
        <f>SUM(E633)</f>
        <v>46900</v>
      </c>
      <c r="F631" s="1034">
        <f>SUM(F633)</f>
        <v>0</v>
      </c>
      <c r="G631" s="1331">
        <f>SUM(G633)</f>
        <v>46900</v>
      </c>
      <c r="H631" s="1035"/>
      <c r="I631" s="1034"/>
      <c r="J631" s="1034"/>
      <c r="K631" s="1034"/>
      <c r="L631" s="1034"/>
    </row>
    <row r="632" spans="1:12" hidden="1">
      <c r="A632" s="830"/>
      <c r="B632" s="831" t="s">
        <v>1038</v>
      </c>
      <c r="C632" s="830"/>
      <c r="D632" s="830"/>
      <c r="E632" s="832"/>
      <c r="F632" s="832"/>
      <c r="G632" s="1334"/>
      <c r="H632" s="342"/>
      <c r="I632" s="832"/>
      <c r="J632" s="832"/>
      <c r="K632" s="832"/>
      <c r="L632" s="832"/>
    </row>
    <row r="633" spans="1:12" hidden="1">
      <c r="A633" s="830">
        <v>1</v>
      </c>
      <c r="B633" s="831" t="s">
        <v>1061</v>
      </c>
      <c r="C633" s="830">
        <v>2007</v>
      </c>
      <c r="D633" s="830"/>
      <c r="E633" s="832">
        <v>46900</v>
      </c>
      <c r="F633" s="832"/>
      <c r="G633" s="1334">
        <v>46900</v>
      </c>
      <c r="H633" s="342"/>
      <c r="I633" s="832"/>
      <c r="J633" s="832"/>
      <c r="K633" s="832"/>
      <c r="L633" s="832"/>
    </row>
    <row r="634" spans="1:12" hidden="1">
      <c r="A634" s="830">
        <v>2</v>
      </c>
      <c r="B634" s="831" t="s">
        <v>1031</v>
      </c>
      <c r="C634" s="830"/>
      <c r="D634" s="830"/>
      <c r="E634" s="832">
        <v>46900</v>
      </c>
      <c r="F634" s="832"/>
      <c r="G634" s="1334">
        <v>46900</v>
      </c>
      <c r="H634" s="342"/>
      <c r="I634" s="832"/>
      <c r="J634" s="832"/>
      <c r="K634" s="832"/>
      <c r="L634" s="832"/>
    </row>
    <row r="635" spans="1:12" hidden="1">
      <c r="A635" s="830">
        <v>3</v>
      </c>
      <c r="B635" s="831" t="s">
        <v>1032</v>
      </c>
      <c r="C635" s="830"/>
      <c r="D635" s="830"/>
      <c r="E635" s="832">
        <v>46900</v>
      </c>
      <c r="F635" s="832"/>
      <c r="G635" s="1334">
        <v>46900</v>
      </c>
      <c r="H635" s="342"/>
      <c r="I635" s="832"/>
      <c r="J635" s="832"/>
      <c r="K635" s="832"/>
      <c r="L635" s="832"/>
    </row>
    <row r="636" spans="1:12" ht="16.2" hidden="1" thickBot="1">
      <c r="A636" s="827" t="s">
        <v>589</v>
      </c>
      <c r="B636" s="828" t="s">
        <v>1033</v>
      </c>
      <c r="C636" s="827"/>
      <c r="D636" s="827"/>
      <c r="E636" s="832">
        <v>46900</v>
      </c>
      <c r="F636" s="832"/>
      <c r="G636" s="1334">
        <v>46900</v>
      </c>
      <c r="H636" s="342"/>
      <c r="I636" s="829"/>
      <c r="J636" s="829"/>
      <c r="K636" s="829"/>
      <c r="L636" s="829"/>
    </row>
    <row r="637" spans="1:12" hidden="1">
      <c r="A637" s="830"/>
      <c r="B637" s="831" t="s">
        <v>1038</v>
      </c>
      <c r="C637" s="830"/>
      <c r="D637" s="830"/>
      <c r="E637" s="832">
        <v>46900</v>
      </c>
      <c r="F637" s="832"/>
      <c r="G637" s="1334">
        <v>46900</v>
      </c>
      <c r="H637" s="342"/>
      <c r="I637" s="832"/>
      <c r="J637" s="832"/>
      <c r="K637" s="832"/>
      <c r="L637" s="832"/>
    </row>
    <row r="638" spans="1:12" hidden="1">
      <c r="A638" s="830">
        <v>1</v>
      </c>
      <c r="B638" s="831" t="s">
        <v>1031</v>
      </c>
      <c r="C638" s="830"/>
      <c r="D638" s="830"/>
      <c r="E638" s="832">
        <v>46900</v>
      </c>
      <c r="F638" s="832"/>
      <c r="G638" s="1334">
        <v>46900</v>
      </c>
      <c r="H638" s="342"/>
      <c r="I638" s="832"/>
      <c r="J638" s="832"/>
      <c r="K638" s="832"/>
      <c r="L638" s="832"/>
    </row>
    <row r="639" spans="1:12" hidden="1">
      <c r="A639" s="830">
        <v>2</v>
      </c>
      <c r="B639" s="831" t="s">
        <v>1031</v>
      </c>
      <c r="C639" s="830"/>
      <c r="D639" s="830"/>
      <c r="E639" s="832">
        <v>46900</v>
      </c>
      <c r="F639" s="832"/>
      <c r="G639" s="1334">
        <v>46900</v>
      </c>
      <c r="H639" s="342"/>
      <c r="I639" s="832"/>
      <c r="J639" s="832"/>
      <c r="K639" s="832"/>
      <c r="L639" s="832"/>
    </row>
    <row r="640" spans="1:12" hidden="1">
      <c r="A640" s="830">
        <v>3</v>
      </c>
      <c r="B640" s="831" t="s">
        <v>1032</v>
      </c>
      <c r="C640" s="830"/>
      <c r="D640" s="830"/>
      <c r="E640" s="832">
        <v>46900</v>
      </c>
      <c r="F640" s="832"/>
      <c r="G640" s="1334">
        <v>46900</v>
      </c>
      <c r="H640" s="342"/>
      <c r="I640" s="832"/>
      <c r="J640" s="832"/>
      <c r="K640" s="832"/>
      <c r="L640" s="832"/>
    </row>
    <row r="641" spans="1:41" ht="16.2" hidden="1" thickBot="1">
      <c r="A641" s="830" t="s">
        <v>16</v>
      </c>
      <c r="B641" s="831" t="s">
        <v>1075</v>
      </c>
      <c r="C641" s="830"/>
      <c r="D641" s="830"/>
      <c r="E641" s="832">
        <v>46900</v>
      </c>
      <c r="F641" s="832"/>
      <c r="G641" s="1334">
        <v>46900</v>
      </c>
      <c r="H641" s="342"/>
      <c r="I641" s="832"/>
      <c r="J641" s="832"/>
      <c r="K641" s="832"/>
      <c r="L641" s="832"/>
    </row>
    <row r="642" spans="1:41" ht="16.2" hidden="1" thickBot="1">
      <c r="A642" s="969" t="s">
        <v>643</v>
      </c>
      <c r="B642" s="970" t="s">
        <v>1034</v>
      </c>
      <c r="C642" s="969"/>
      <c r="D642" s="969"/>
      <c r="E642" s="972">
        <f>E644+E650</f>
        <v>213665000</v>
      </c>
      <c r="F642" s="972">
        <f t="shared" ref="F642:O642" si="24">F644+F650</f>
        <v>0</v>
      </c>
      <c r="G642" s="1336">
        <f t="shared" si="24"/>
        <v>197144000</v>
      </c>
      <c r="H642" s="972">
        <f t="shared" si="24"/>
        <v>0</v>
      </c>
      <c r="I642" s="972">
        <f t="shared" si="24"/>
        <v>244840000</v>
      </c>
      <c r="J642" s="972">
        <f t="shared" si="24"/>
        <v>189420000</v>
      </c>
      <c r="K642" s="972">
        <f t="shared" si="24"/>
        <v>241420000</v>
      </c>
      <c r="L642" s="972">
        <f t="shared" si="24"/>
        <v>272420000</v>
      </c>
      <c r="M642" s="972">
        <f t="shared" si="24"/>
        <v>0</v>
      </c>
      <c r="N642" s="972">
        <f t="shared" si="24"/>
        <v>0</v>
      </c>
      <c r="O642" s="972">
        <f t="shared" si="24"/>
        <v>0</v>
      </c>
    </row>
    <row r="643" spans="1:41" hidden="1">
      <c r="A643" s="830">
        <v>1</v>
      </c>
      <c r="B643" s="831" t="s">
        <v>1037</v>
      </c>
      <c r="C643" s="830"/>
      <c r="D643" s="830"/>
      <c r="E643" s="973"/>
      <c r="F643" s="973"/>
      <c r="G643" s="1337"/>
      <c r="H643" s="974"/>
      <c r="I643" s="973"/>
      <c r="J643" s="973"/>
      <c r="K643" s="973"/>
      <c r="L643" s="973"/>
    </row>
    <row r="644" spans="1:41" hidden="1">
      <c r="A644" s="1578" t="s">
        <v>16</v>
      </c>
      <c r="B644" s="1579" t="s">
        <v>1065</v>
      </c>
      <c r="C644" s="1578" t="s">
        <v>1064</v>
      </c>
      <c r="D644" s="1578"/>
      <c r="E644" s="1580">
        <f>SUM(E645:E648)</f>
        <v>190153000</v>
      </c>
      <c r="F644" s="1580">
        <f t="shared" ref="F644:L644" si="25">SUM(F645:F648)</f>
        <v>0</v>
      </c>
      <c r="G644" s="1337">
        <f t="shared" si="25"/>
        <v>174538000</v>
      </c>
      <c r="H644" s="1580">
        <f t="shared" si="25"/>
        <v>0</v>
      </c>
      <c r="I644" s="1580">
        <f t="shared" si="25"/>
        <v>146640000</v>
      </c>
      <c r="J644" s="1580">
        <f t="shared" si="25"/>
        <v>141220000</v>
      </c>
      <c r="K644" s="1580">
        <f t="shared" si="25"/>
        <v>148220000</v>
      </c>
      <c r="L644" s="1580">
        <f t="shared" si="25"/>
        <v>149220000</v>
      </c>
    </row>
    <row r="645" spans="1:41" hidden="1">
      <c r="A645" s="830" t="s">
        <v>144</v>
      </c>
      <c r="B645" s="839" t="s">
        <v>1072</v>
      </c>
      <c r="C645" s="830"/>
      <c r="D645" s="830"/>
      <c r="E645" s="973">
        <v>500000</v>
      </c>
      <c r="F645" s="973"/>
      <c r="G645" s="1613">
        <v>500000</v>
      </c>
      <c r="H645" s="974"/>
      <c r="I645" s="973">
        <v>400000</v>
      </c>
      <c r="J645" s="973">
        <v>400000</v>
      </c>
      <c r="K645" s="973">
        <v>400000</v>
      </c>
      <c r="L645" s="973">
        <v>500000</v>
      </c>
    </row>
    <row r="646" spans="1:41" hidden="1">
      <c r="A646" s="830" t="s">
        <v>147</v>
      </c>
      <c r="B646" s="839" t="s">
        <v>1073</v>
      </c>
      <c r="C646" s="830"/>
      <c r="D646" s="830"/>
      <c r="E646" s="973">
        <v>138643000</v>
      </c>
      <c r="F646" s="973"/>
      <c r="G646" s="1613">
        <v>138103000</v>
      </c>
      <c r="H646" s="974"/>
      <c r="I646" s="973">
        <v>144400000</v>
      </c>
      <c r="J646" s="973">
        <v>139500000</v>
      </c>
      <c r="K646" s="973">
        <v>146300000</v>
      </c>
      <c r="L646" s="973">
        <v>147300000</v>
      </c>
    </row>
    <row r="647" spans="1:41" hidden="1">
      <c r="A647" s="830" t="s">
        <v>1066</v>
      </c>
      <c r="B647" s="839" t="s">
        <v>1074</v>
      </c>
      <c r="C647" s="830"/>
      <c r="D647" s="830"/>
      <c r="E647" s="973">
        <v>1000000</v>
      </c>
      <c r="F647" s="973"/>
      <c r="G647" s="1613">
        <v>1000000</v>
      </c>
      <c r="H647" s="974"/>
      <c r="I647" s="973">
        <v>620000</v>
      </c>
      <c r="J647" s="973">
        <v>300000</v>
      </c>
      <c r="K647" s="973">
        <v>300000</v>
      </c>
      <c r="L647" s="973">
        <v>500000</v>
      </c>
    </row>
    <row r="648" spans="1:41" hidden="1">
      <c r="A648" s="830" t="s">
        <v>1067</v>
      </c>
      <c r="B648" s="839" t="s">
        <v>1075</v>
      </c>
      <c r="C648" s="830"/>
      <c r="D648" s="830"/>
      <c r="E648" s="973">
        <v>50010000</v>
      </c>
      <c r="F648" s="973"/>
      <c r="G648" s="1337">
        <v>34935000</v>
      </c>
      <c r="H648" s="974"/>
      <c r="I648" s="973">
        <v>1220000</v>
      </c>
      <c r="J648" s="973">
        <v>1020000</v>
      </c>
      <c r="K648" s="973">
        <v>1220000</v>
      </c>
      <c r="L648" s="973">
        <v>920000</v>
      </c>
    </row>
    <row r="649" spans="1:41" hidden="1">
      <c r="A649" s="830">
        <v>2</v>
      </c>
      <c r="B649" s="831" t="s">
        <v>1060</v>
      </c>
      <c r="C649" s="830"/>
      <c r="D649" s="830"/>
      <c r="E649" s="973"/>
      <c r="F649" s="973"/>
      <c r="G649" s="1337"/>
      <c r="H649" s="974"/>
      <c r="I649" s="973"/>
      <c r="J649" s="973"/>
      <c r="K649" s="973"/>
      <c r="L649" s="973"/>
    </row>
    <row r="650" spans="1:41" s="1577" customFormat="1" hidden="1">
      <c r="A650" s="1578" t="s">
        <v>20</v>
      </c>
      <c r="B650" s="1579" t="s">
        <v>1061</v>
      </c>
      <c r="C650" s="1578">
        <v>6260</v>
      </c>
      <c r="D650" s="1578"/>
      <c r="E650" s="1580">
        <f>SUM(E651:E654)</f>
        <v>23512000</v>
      </c>
      <c r="F650" s="1580">
        <f t="shared" ref="F650:L650" si="26">SUM(F651:F654)</f>
        <v>0</v>
      </c>
      <c r="G650" s="1337">
        <f t="shared" si="26"/>
        <v>22606000</v>
      </c>
      <c r="H650" s="1580">
        <f t="shared" si="26"/>
        <v>0</v>
      </c>
      <c r="I650" s="1580">
        <f t="shared" si="26"/>
        <v>98200000</v>
      </c>
      <c r="J650" s="1580">
        <f t="shared" si="26"/>
        <v>48200000</v>
      </c>
      <c r="K650" s="1580">
        <f t="shared" si="26"/>
        <v>93200000</v>
      </c>
      <c r="L650" s="1580">
        <f t="shared" si="26"/>
        <v>123200000</v>
      </c>
      <c r="M650" s="1575"/>
      <c r="N650" s="1575"/>
      <c r="O650" s="1575"/>
      <c r="P650" s="1575"/>
      <c r="Q650" s="1575"/>
      <c r="R650" s="1575"/>
      <c r="S650" s="1575"/>
      <c r="T650" s="1575"/>
      <c r="U650" s="1575"/>
      <c r="V650" s="1575"/>
      <c r="W650" s="1575"/>
      <c r="X650" s="1575"/>
      <c r="Y650" s="1575"/>
      <c r="Z650" s="1575"/>
      <c r="AA650" s="1575"/>
      <c r="AB650" s="1575"/>
      <c r="AC650" s="1575"/>
      <c r="AD650" s="1575"/>
      <c r="AE650" s="1575"/>
      <c r="AF650" s="1575"/>
      <c r="AG650" s="1575"/>
      <c r="AH650" s="1575"/>
      <c r="AI650" s="1575"/>
      <c r="AJ650" s="1575"/>
      <c r="AK650" s="1575"/>
      <c r="AL650" s="1575"/>
      <c r="AM650" s="1575"/>
      <c r="AN650" s="1576"/>
      <c r="AO650" s="1576"/>
    </row>
    <row r="651" spans="1:41" hidden="1">
      <c r="A651" s="830" t="s">
        <v>1068</v>
      </c>
      <c r="B651" s="839" t="s">
        <v>1072</v>
      </c>
      <c r="C651" s="830"/>
      <c r="D651" s="830"/>
      <c r="E651" s="973"/>
      <c r="F651" s="973"/>
      <c r="G651" s="1613"/>
      <c r="H651" s="973"/>
      <c r="I651" s="973"/>
      <c r="J651" s="973"/>
      <c r="K651" s="973"/>
      <c r="L651" s="973"/>
    </row>
    <row r="652" spans="1:41" hidden="1">
      <c r="A652" s="830" t="s">
        <v>1069</v>
      </c>
      <c r="B652" s="839" t="s">
        <v>1073</v>
      </c>
      <c r="C652" s="830"/>
      <c r="D652" s="830"/>
      <c r="E652" s="973">
        <v>22406000</v>
      </c>
      <c r="F652" s="973"/>
      <c r="G652" s="1613">
        <v>22406000</v>
      </c>
      <c r="H652" s="973"/>
      <c r="I652" s="973">
        <v>97200000</v>
      </c>
      <c r="J652" s="973">
        <v>47200000</v>
      </c>
      <c r="K652" s="973">
        <v>92200000</v>
      </c>
      <c r="L652" s="973">
        <v>122200000</v>
      </c>
    </row>
    <row r="653" spans="1:41" hidden="1">
      <c r="A653" s="830" t="s">
        <v>1070</v>
      </c>
      <c r="B653" s="839" t="s">
        <v>1074</v>
      </c>
      <c r="C653" s="830"/>
      <c r="D653" s="830"/>
      <c r="E653" s="973"/>
      <c r="F653" s="973"/>
      <c r="G653" s="1613"/>
      <c r="H653" s="973"/>
      <c r="I653" s="973"/>
      <c r="J653" s="973"/>
      <c r="K653" s="973"/>
      <c r="L653" s="973"/>
    </row>
    <row r="654" spans="1:41" hidden="1">
      <c r="A654" s="830" t="s">
        <v>1071</v>
      </c>
      <c r="B654" s="839" t="s">
        <v>1075</v>
      </c>
      <c r="C654" s="830"/>
      <c r="D654" s="830"/>
      <c r="E654" s="973">
        <v>1106000</v>
      </c>
      <c r="F654" s="973"/>
      <c r="G654" s="1613">
        <v>200000</v>
      </c>
      <c r="H654" s="973"/>
      <c r="I654" s="973">
        <v>1000000</v>
      </c>
      <c r="J654" s="973">
        <v>1000000</v>
      </c>
      <c r="K654" s="973">
        <v>1000000</v>
      </c>
      <c r="L654" s="973">
        <v>1000000</v>
      </c>
    </row>
    <row r="655" spans="1:41" ht="16.2" hidden="1" thickBot="1">
      <c r="A655" s="830"/>
      <c r="B655" s="831"/>
      <c r="C655" s="830"/>
      <c r="D655" s="830"/>
      <c r="E655" s="973"/>
      <c r="F655" s="973"/>
      <c r="G655" s="1337"/>
      <c r="H655" s="973"/>
      <c r="I655" s="973"/>
      <c r="J655" s="973"/>
      <c r="K655" s="973"/>
      <c r="L655" s="973"/>
    </row>
    <row r="656" spans="1:41" ht="16.2" hidden="1" thickBot="1">
      <c r="A656" s="969" t="s">
        <v>643</v>
      </c>
      <c r="B656" s="970" t="s">
        <v>1033</v>
      </c>
      <c r="C656" s="969"/>
      <c r="D656" s="971">
        <f>SUM(D658:D658)</f>
        <v>915783000</v>
      </c>
      <c r="E656" s="1027">
        <f>SUM(E658:E658)</f>
        <v>915783000</v>
      </c>
      <c r="F656" s="1027">
        <f>SUM(F658:F658)</f>
        <v>0</v>
      </c>
      <c r="G656" s="1339">
        <f>SUM(G658:G658)</f>
        <v>915783000</v>
      </c>
      <c r="H656" s="1028"/>
      <c r="I656" s="1027">
        <f>SUM(I658:I658)</f>
        <v>922379000</v>
      </c>
      <c r="J656" s="1027">
        <f>SUM(J658:J658)</f>
        <v>0</v>
      </c>
      <c r="K656" s="1027">
        <f>SUM(K658:K658)</f>
        <v>922379000</v>
      </c>
      <c r="L656" s="1027" t="e">
        <f>SUM(L658:L658)</f>
        <v>#REF!</v>
      </c>
    </row>
    <row r="657" spans="1:12" hidden="1">
      <c r="A657" s="830"/>
      <c r="B657" s="831" t="s">
        <v>1036</v>
      </c>
      <c r="C657" s="830"/>
      <c r="D657" s="830"/>
      <c r="E657" s="1029"/>
      <c r="F657" s="1029"/>
      <c r="G657" s="1340"/>
      <c r="H657" s="1030"/>
      <c r="I657" s="1029"/>
      <c r="J657" s="1029"/>
      <c r="K657" s="1029"/>
      <c r="L657" s="1029"/>
    </row>
    <row r="658" spans="1:12" hidden="1">
      <c r="A658" s="830">
        <v>1</v>
      </c>
      <c r="B658" s="839" t="s">
        <v>1040</v>
      </c>
      <c r="C658" s="837" t="str">
        <f>C573</f>
        <v>2960</v>
      </c>
      <c r="D658" s="838">
        <f>D573</f>
        <v>915783000</v>
      </c>
      <c r="E658" s="1031">
        <f>'Pl 2016-20 PFC'!D316</f>
        <v>915783000</v>
      </c>
      <c r="F658" s="1031"/>
      <c r="G658" s="1344">
        <f>E311</f>
        <v>915783000</v>
      </c>
      <c r="H658" s="1032"/>
      <c r="I658" s="1031">
        <f>G311</f>
        <v>922379000</v>
      </c>
      <c r="J658" s="1031">
        <f>I311</f>
        <v>0</v>
      </c>
      <c r="K658" s="1031">
        <f>J311</f>
        <v>922379000</v>
      </c>
      <c r="L658" s="1031" t="e">
        <f>K311</f>
        <v>#REF!</v>
      </c>
    </row>
    <row r="659" spans="1:12" ht="16.2" hidden="1" thickBot="1">
      <c r="A659" s="833"/>
      <c r="B659" s="834"/>
      <c r="C659" s="833"/>
      <c r="D659" s="833"/>
      <c r="E659" s="835"/>
      <c r="F659" s="835"/>
      <c r="G659" s="1347"/>
      <c r="H659" s="342"/>
      <c r="I659" s="835"/>
      <c r="J659" s="835"/>
      <c r="K659" s="835"/>
      <c r="L659" s="835"/>
    </row>
    <row r="660" spans="1:12" hidden="1">
      <c r="A660" s="313"/>
      <c r="B660" s="430"/>
      <c r="C660" s="431"/>
      <c r="D660" s="431"/>
      <c r="E660" s="430"/>
      <c r="L660" s="842"/>
    </row>
    <row r="661" spans="1:12" hidden="1">
      <c r="A661" s="313"/>
      <c r="B661" s="430"/>
      <c r="C661" s="431"/>
      <c r="D661" s="431"/>
      <c r="E661" s="430"/>
      <c r="L661" s="842"/>
    </row>
    <row r="662" spans="1:12" ht="23.4">
      <c r="A662" s="433"/>
      <c r="B662" s="435" t="s">
        <v>654</v>
      </c>
      <c r="C662" s="433"/>
      <c r="D662" s="433"/>
      <c r="E662" s="433"/>
      <c r="F662" s="433"/>
      <c r="G662" s="1349"/>
      <c r="H662" s="433"/>
      <c r="I662" s="433"/>
      <c r="J662" s="433"/>
      <c r="L662" s="842"/>
    </row>
    <row r="663" spans="1:12" ht="23.4">
      <c r="A663" s="433"/>
      <c r="B663" s="436" t="s">
        <v>656</v>
      </c>
      <c r="C663" s="433"/>
      <c r="D663" s="433"/>
      <c r="E663" s="433"/>
      <c r="F663" s="433"/>
      <c r="G663" s="1349"/>
      <c r="H663" s="433"/>
      <c r="I663" s="433"/>
      <c r="J663" s="433"/>
      <c r="L663" s="842"/>
    </row>
    <row r="664" spans="1:12" ht="15.75" customHeight="1">
      <c r="A664" s="433"/>
      <c r="B664" s="435" t="s">
        <v>655</v>
      </c>
      <c r="C664" s="433"/>
      <c r="D664" s="433"/>
      <c r="E664" s="433"/>
      <c r="F664" s="433"/>
      <c r="G664" s="1349"/>
      <c r="H664" s="433"/>
      <c r="I664" s="433"/>
      <c r="J664" s="433"/>
      <c r="L664" s="842"/>
    </row>
    <row r="665" spans="1:12" ht="53.25" customHeight="1">
      <c r="A665" s="433"/>
      <c r="B665" s="435" t="s">
        <v>509</v>
      </c>
      <c r="C665" s="433"/>
      <c r="D665" s="433"/>
      <c r="E665" s="433"/>
      <c r="F665" s="433"/>
      <c r="G665" s="1349"/>
      <c r="H665" s="433"/>
      <c r="I665" s="433"/>
      <c r="J665" s="433"/>
      <c r="L665" s="842"/>
    </row>
    <row r="666" spans="1:12" ht="15.75" customHeight="1">
      <c r="A666" s="433"/>
      <c r="B666" s="433"/>
      <c r="C666" s="433"/>
      <c r="D666" s="433"/>
      <c r="E666" s="433"/>
      <c r="F666" s="433"/>
      <c r="G666" s="1349"/>
      <c r="H666" s="433"/>
      <c r="I666" s="433"/>
      <c r="J666" s="433"/>
      <c r="L666" s="842"/>
    </row>
    <row r="667" spans="1:12" ht="15.75" customHeight="1">
      <c r="A667" s="433"/>
      <c r="B667" s="433"/>
      <c r="C667" s="433"/>
      <c r="D667" s="433"/>
      <c r="E667" s="433"/>
      <c r="F667" s="433"/>
      <c r="G667" s="1349"/>
      <c r="H667" s="433"/>
      <c r="I667" s="433"/>
      <c r="J667" s="433"/>
      <c r="L667" s="842"/>
    </row>
    <row r="668" spans="1:12" ht="15.75" customHeight="1">
      <c r="A668" s="433"/>
      <c r="B668" s="433"/>
      <c r="C668" s="433"/>
      <c r="D668" s="433"/>
      <c r="E668" s="433"/>
      <c r="F668" s="433"/>
      <c r="G668" s="1349"/>
      <c r="H668" s="433"/>
      <c r="I668" s="433"/>
      <c r="J668" s="433"/>
      <c r="L668" s="842"/>
    </row>
    <row r="669" spans="1:12" ht="15.75" customHeight="1">
      <c r="A669" s="433"/>
      <c r="B669" s="433"/>
      <c r="C669" s="433"/>
      <c r="D669" s="433"/>
      <c r="E669" s="433"/>
      <c r="F669" s="433"/>
      <c r="G669" s="1349"/>
      <c r="H669" s="433"/>
      <c r="I669" s="433"/>
      <c r="J669" s="433"/>
      <c r="L669" s="842"/>
    </row>
    <row r="670" spans="1:12" ht="15.75" customHeight="1">
      <c r="A670" s="433"/>
      <c r="B670" s="433"/>
      <c r="C670" s="433"/>
      <c r="D670" s="433"/>
      <c r="E670" s="433"/>
      <c r="F670" s="433"/>
      <c r="G670" s="1349"/>
      <c r="H670" s="433"/>
      <c r="I670" s="433"/>
      <c r="J670" s="433"/>
      <c r="L670" s="842"/>
    </row>
    <row r="671" spans="1:12" ht="15.75" customHeight="1">
      <c r="A671" s="433"/>
      <c r="B671" s="433"/>
      <c r="C671" s="433"/>
      <c r="D671" s="433"/>
      <c r="E671" s="433"/>
      <c r="F671" s="433"/>
      <c r="G671" s="1349"/>
      <c r="H671" s="433"/>
      <c r="I671" s="433"/>
      <c r="J671" s="433"/>
      <c r="L671" s="842"/>
    </row>
    <row r="672" spans="1:12" ht="15.75" customHeight="1">
      <c r="A672" s="433"/>
      <c r="B672" s="433"/>
      <c r="C672" s="433"/>
      <c r="D672" s="433"/>
      <c r="E672" s="433"/>
      <c r="F672" s="433"/>
      <c r="G672" s="1349"/>
      <c r="H672" s="433"/>
      <c r="I672" s="433"/>
      <c r="J672" s="433"/>
      <c r="L672" s="842"/>
    </row>
    <row r="673" spans="1:12" ht="15.75" customHeight="1">
      <c r="A673" s="433"/>
      <c r="B673" s="433"/>
      <c r="C673" s="433"/>
      <c r="D673" s="433"/>
      <c r="E673" s="433"/>
      <c r="F673" s="433"/>
      <c r="G673" s="1349"/>
      <c r="H673" s="433"/>
      <c r="I673" s="433"/>
      <c r="J673" s="433"/>
      <c r="L673" s="842"/>
    </row>
    <row r="674" spans="1:12" ht="15.75" customHeight="1">
      <c r="A674" s="433"/>
      <c r="B674" s="433"/>
      <c r="C674" s="433"/>
      <c r="D674" s="433"/>
      <c r="E674" s="433"/>
      <c r="F674" s="433"/>
      <c r="G674" s="1349"/>
      <c r="H674" s="433"/>
      <c r="I674" s="433"/>
      <c r="J674" s="433"/>
      <c r="L674" s="842"/>
    </row>
    <row r="675" spans="1:12" ht="15.75" customHeight="1">
      <c r="A675" s="433"/>
      <c r="B675" s="433"/>
      <c r="C675" s="433"/>
      <c r="D675" s="433"/>
      <c r="E675" s="433"/>
      <c r="F675" s="433"/>
      <c r="G675" s="1349"/>
      <c r="H675" s="433"/>
      <c r="I675" s="433"/>
      <c r="J675" s="433"/>
      <c r="L675" s="842"/>
    </row>
    <row r="676" spans="1:12" ht="15.75" customHeight="1">
      <c r="A676" s="433"/>
      <c r="B676" s="433"/>
      <c r="C676" s="433"/>
      <c r="D676" s="433"/>
      <c r="E676" s="433"/>
      <c r="F676" s="433"/>
      <c r="G676" s="1349"/>
      <c r="H676" s="433"/>
      <c r="I676" s="433"/>
      <c r="J676" s="433"/>
      <c r="L676" s="842"/>
    </row>
    <row r="677" spans="1:12" ht="15.75" customHeight="1">
      <c r="A677" s="433"/>
      <c r="B677" s="433"/>
      <c r="C677" s="433"/>
      <c r="D677" s="433"/>
      <c r="E677" s="433"/>
      <c r="F677" s="433"/>
      <c r="G677" s="1349"/>
      <c r="H677" s="433"/>
      <c r="I677" s="433"/>
      <c r="J677" s="433"/>
      <c r="L677" s="842"/>
    </row>
    <row r="678" spans="1:12" ht="15.75" customHeight="1">
      <c r="A678" s="433"/>
      <c r="B678" s="433"/>
      <c r="C678" s="433"/>
      <c r="D678" s="433"/>
      <c r="E678" s="433"/>
      <c r="F678" s="433"/>
      <c r="G678" s="1349"/>
      <c r="H678" s="433"/>
      <c r="I678" s="433"/>
      <c r="J678" s="433"/>
      <c r="L678" s="842"/>
    </row>
    <row r="679" spans="1:12" ht="15.75" customHeight="1">
      <c r="A679" s="433"/>
      <c r="B679" s="433"/>
      <c r="C679" s="433"/>
      <c r="D679" s="433"/>
      <c r="E679" s="433"/>
      <c r="F679" s="433"/>
      <c r="G679" s="1349"/>
      <c r="H679" s="433"/>
      <c r="I679" s="433"/>
      <c r="J679" s="433"/>
      <c r="L679" s="842"/>
    </row>
    <row r="680" spans="1:12">
      <c r="L680" s="842"/>
    </row>
    <row r="681" spans="1:12">
      <c r="L681" s="842"/>
    </row>
    <row r="682" spans="1:12">
      <c r="L682" s="842"/>
    </row>
    <row r="683" spans="1:12">
      <c r="L683" s="842"/>
    </row>
    <row r="684" spans="1:12">
      <c r="L684" s="842"/>
    </row>
    <row r="685" spans="1:12">
      <c r="L685" s="842"/>
    </row>
    <row r="686" spans="1:12">
      <c r="L686" s="842"/>
    </row>
    <row r="687" spans="1:12">
      <c r="L687" s="842"/>
    </row>
    <row r="688" spans="1:12">
      <c r="L688" s="842"/>
    </row>
    <row r="689" spans="12:12">
      <c r="L689" s="842"/>
    </row>
    <row r="690" spans="12:12">
      <c r="L690" s="842"/>
    </row>
    <row r="691" spans="12:12">
      <c r="L691" s="842"/>
    </row>
    <row r="692" spans="12:12">
      <c r="L692" s="842"/>
    </row>
    <row r="693" spans="12:12">
      <c r="L693" s="842"/>
    </row>
    <row r="694" spans="12:12">
      <c r="L694" s="842"/>
    </row>
    <row r="695" spans="12:12">
      <c r="L695" s="842"/>
    </row>
    <row r="696" spans="12:12">
      <c r="L696" s="842"/>
    </row>
    <row r="697" spans="12:12">
      <c r="L697" s="842"/>
    </row>
    <row r="698" spans="12:12">
      <c r="L698" s="842"/>
    </row>
    <row r="699" spans="12:12">
      <c r="L699" s="842"/>
    </row>
    <row r="700" spans="12:12">
      <c r="L700" s="842"/>
    </row>
    <row r="701" spans="12:12">
      <c r="L701" s="842"/>
    </row>
  </sheetData>
  <sheetProtection insertColumns="0" insertRows="0"/>
  <mergeCells count="40">
    <mergeCell ref="O327:Q327"/>
    <mergeCell ref="A6:B6"/>
    <mergeCell ref="J10:K10"/>
    <mergeCell ref="A8:B8"/>
    <mergeCell ref="A9:B9"/>
    <mergeCell ref="A11:K11"/>
    <mergeCell ref="A12:K12"/>
    <mergeCell ref="A14:A15"/>
    <mergeCell ref="B21:C21"/>
    <mergeCell ref="B62:C62"/>
    <mergeCell ref="B63:C63"/>
    <mergeCell ref="I3:K3"/>
    <mergeCell ref="B18:C18"/>
    <mergeCell ref="A1:B1"/>
    <mergeCell ref="A2:B2"/>
    <mergeCell ref="A3:B3"/>
    <mergeCell ref="A4:B4"/>
    <mergeCell ref="A5:B5"/>
    <mergeCell ref="G15:K15"/>
    <mergeCell ref="G603:K603"/>
    <mergeCell ref="B610:J610"/>
    <mergeCell ref="B611:J611"/>
    <mergeCell ref="A589:A590"/>
    <mergeCell ref="B589:C590"/>
    <mergeCell ref="E590:K590"/>
    <mergeCell ref="B592:C593"/>
    <mergeCell ref="A602:A603"/>
    <mergeCell ref="B602:C603"/>
    <mergeCell ref="A66:A67"/>
    <mergeCell ref="B66:B67"/>
    <mergeCell ref="C66:C67"/>
    <mergeCell ref="B14:C15"/>
    <mergeCell ref="B19:C19"/>
    <mergeCell ref="B20:C20"/>
    <mergeCell ref="B605:C606"/>
    <mergeCell ref="E67:K67"/>
    <mergeCell ref="A344:A345"/>
    <mergeCell ref="B344:B345"/>
    <mergeCell ref="C344:C345"/>
    <mergeCell ref="E345:K345"/>
  </mergeCells>
  <conditionalFormatting sqref="I326">
    <cfRule type="cellIs" dxfId="16" priority="26" stopIfTrue="1" operator="notEqual">
      <formula>$I$326</formula>
    </cfRule>
  </conditionalFormatting>
  <conditionalFormatting sqref="I327">
    <cfRule type="cellIs" dxfId="15" priority="27" stopIfTrue="1" operator="notEqual">
      <formula>$I$326</formula>
    </cfRule>
  </conditionalFormatting>
  <conditionalFormatting sqref="J326">
    <cfRule type="cellIs" dxfId="14" priority="29" stopIfTrue="1" operator="notEqual">
      <formula>$J$326</formula>
    </cfRule>
  </conditionalFormatting>
  <conditionalFormatting sqref="J327">
    <cfRule type="cellIs" dxfId="13" priority="30" stopIfTrue="1" operator="notEqual">
      <formula>$J$326</formula>
    </cfRule>
  </conditionalFormatting>
  <conditionalFormatting sqref="K327">
    <cfRule type="cellIs" dxfId="12" priority="32" stopIfTrue="1" operator="notEqual">
      <formula>$K$326</formula>
    </cfRule>
  </conditionalFormatting>
  <conditionalFormatting sqref="H19:H20">
    <cfRule type="expression" dxfId="11" priority="17" stopIfTrue="1">
      <formula>"&lt;&gt;$K$18"</formula>
    </cfRule>
  </conditionalFormatting>
  <conditionalFormatting sqref="H19:H20">
    <cfRule type="cellIs" dxfId="10" priority="33" stopIfTrue="1" operator="notEqual">
      <formula>P$18</formula>
    </cfRule>
  </conditionalFormatting>
  <conditionalFormatting sqref="F326">
    <cfRule type="cellIs" dxfId="9" priority="10" operator="notEqual">
      <formula>$F$327</formula>
    </cfRule>
  </conditionalFormatting>
  <conditionalFormatting sqref="D326">
    <cfRule type="cellIs" dxfId="8" priority="7" operator="notEqual">
      <formula>$D$327</formula>
    </cfRule>
  </conditionalFormatting>
  <conditionalFormatting sqref="E18">
    <cfRule type="cellIs" dxfId="7" priority="5" operator="notEqual">
      <formula>$E$112</formula>
    </cfRule>
  </conditionalFormatting>
  <conditionalFormatting sqref="G18">
    <cfRule type="cellIs" dxfId="6" priority="4" operator="notEqual">
      <formula>$G$112</formula>
    </cfRule>
  </conditionalFormatting>
  <conditionalFormatting sqref="I18">
    <cfRule type="cellIs" dxfId="5" priority="3" operator="notEqual">
      <formula>$I$112</formula>
    </cfRule>
  </conditionalFormatting>
  <conditionalFormatting sqref="J18">
    <cfRule type="cellIs" dxfId="4" priority="2" operator="notEqual">
      <formula>$J$112</formula>
    </cfRule>
  </conditionalFormatting>
  <conditionalFormatting sqref="K18">
    <cfRule type="cellIs" dxfId="3" priority="1" operator="notEqual">
      <formula>$K$112</formula>
    </cfRule>
  </conditionalFormatting>
  <dataValidations count="2">
    <dataValidation allowBlank="1" showInputMessage="1" showErrorMessage="1" promptTitle="Wydatki ogółem" prompt="w memoriale muszą różnić się od kasowych tylko_x000a_o różnicę AMORTYZACJI oraz ODPISÓW" sqref="H18:H20 D18:G18 I18:K18"/>
    <dataValidation allowBlank="1" showInputMessage="1" showErrorMessage="1" prompt="Dz. Obsł. Samorz. wylicza kwotę zwrotu od kwot planowanych na przelewy redstrybucyjne" sqref="D98:G98 I98:K9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firstPageNumber="0" fitToWidth="3" fitToHeight="3" orientation="portrait" r:id="rId1"/>
  <headerFooter alignWithMargins="0">
    <oddFooter>&amp;C&amp;"Times New Roman,Normalny"Strona &amp;P</oddFooter>
  </headerFooter>
  <rowBreaks count="1" manualBreakCount="1">
    <brk id="17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CM268"/>
  <sheetViews>
    <sheetView view="pageBreakPreview" zoomScale="72" zoomScaleNormal="75" zoomScaleSheetLayoutView="72" workbookViewId="0">
      <selection activeCell="Q318" sqref="Q318:R318"/>
    </sheetView>
  </sheetViews>
  <sheetFormatPr defaultColWidth="9" defaultRowHeight="15.6"/>
  <cols>
    <col min="1" max="1" width="8" style="1299" customWidth="1"/>
    <col min="2" max="2" width="119.8984375" style="1300" customWidth="1"/>
    <col min="3" max="3" width="15.8984375" style="1055" customWidth="1"/>
    <col min="4" max="4" width="4.09765625" style="1055" hidden="1" customWidth="1"/>
    <col min="5" max="5" width="15.19921875" style="1056" customWidth="1"/>
    <col min="6" max="6" width="15" style="1056" hidden="1" customWidth="1"/>
    <col min="7" max="7" width="15.5" style="1056" customWidth="1"/>
    <col min="8" max="8" width="12.19921875" style="1056" hidden="1" customWidth="1"/>
    <col min="9" max="9" width="16.8984375" style="1056" customWidth="1"/>
    <col min="10" max="10" width="15" style="1056" customWidth="1"/>
    <col min="11" max="11" width="15.09765625" style="1056" customWidth="1"/>
    <col min="12" max="12" width="12.59765625" style="980" customWidth="1"/>
    <col min="13" max="13" width="10.19921875" style="1058" hidden="1" customWidth="1"/>
    <col min="14" max="14" width="14.8984375" style="1058" hidden="1" customWidth="1"/>
    <col min="15" max="15" width="13.09765625" style="1058" hidden="1" customWidth="1"/>
    <col min="16" max="18" width="14.8984375" style="1058" bestFit="1" customWidth="1"/>
    <col min="19" max="19" width="9.5" style="1058" bestFit="1" customWidth="1"/>
    <col min="20" max="20" width="14.8984375" style="1058" bestFit="1" customWidth="1"/>
    <col min="21" max="21" width="9" style="1058"/>
    <col min="22" max="26" width="0" style="1058" hidden="1" customWidth="1"/>
    <col min="27" max="39" width="9" style="1058"/>
    <col min="40" max="41" width="9" style="1059"/>
    <col min="42" max="16384" width="9" style="1056"/>
  </cols>
  <sheetData>
    <row r="1" spans="1:41" s="1051" customFormat="1" ht="24.9" customHeight="1">
      <c r="A1" s="2273" t="s">
        <v>0</v>
      </c>
      <c r="B1" s="2273"/>
      <c r="C1" s="1050"/>
      <c r="D1" s="1050"/>
      <c r="J1" s="1052"/>
      <c r="L1" s="983"/>
      <c r="M1" s="984"/>
      <c r="N1" s="984"/>
      <c r="O1" s="984"/>
      <c r="P1" s="984"/>
      <c r="Q1" s="984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3"/>
      <c r="AL1" s="1053"/>
      <c r="AM1" s="1053"/>
      <c r="AN1" s="1054"/>
      <c r="AO1" s="1054"/>
    </row>
    <row r="2" spans="1:41">
      <c r="A2" s="2272" t="s">
        <v>1</v>
      </c>
      <c r="B2" s="2272"/>
      <c r="J2" s="1057"/>
      <c r="K2" s="1057"/>
      <c r="L2" s="985"/>
      <c r="M2" s="986"/>
      <c r="N2" s="986"/>
      <c r="O2" s="986"/>
      <c r="P2" s="986"/>
      <c r="Q2" s="986"/>
    </row>
    <row r="3" spans="1:41" s="1051" customFormat="1" ht="75" customHeight="1">
      <c r="A3" s="2273" t="s">
        <v>2</v>
      </c>
      <c r="B3" s="2273"/>
      <c r="C3" s="1060"/>
      <c r="D3" s="1060"/>
      <c r="E3" s="1060"/>
      <c r="F3" s="1060"/>
      <c r="G3" s="1060"/>
      <c r="H3" s="1060"/>
      <c r="I3" s="2276"/>
      <c r="J3" s="2276"/>
      <c r="K3" s="2276"/>
      <c r="L3" s="983"/>
      <c r="M3" s="984"/>
      <c r="N3" s="984"/>
      <c r="O3" s="984"/>
      <c r="P3" s="984"/>
      <c r="Q3" s="984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3"/>
      <c r="AL3" s="1053"/>
      <c r="AM3" s="1053"/>
      <c r="AN3" s="1054"/>
      <c r="AO3" s="1054"/>
    </row>
    <row r="4" spans="1:41" ht="15.75" customHeight="1">
      <c r="A4" s="2272" t="s">
        <v>1</v>
      </c>
      <c r="B4" s="2272"/>
      <c r="C4" s="1061"/>
      <c r="D4" s="1061"/>
      <c r="E4" s="1061"/>
      <c r="F4" s="1061"/>
      <c r="G4" s="1061"/>
      <c r="H4" s="1061"/>
      <c r="I4" s="1062"/>
      <c r="J4" s="1063"/>
      <c r="K4" s="1063"/>
      <c r="L4" s="985"/>
      <c r="M4" s="986"/>
      <c r="N4" s="986"/>
      <c r="O4" s="986"/>
      <c r="P4" s="986"/>
      <c r="Q4" s="986"/>
    </row>
    <row r="5" spans="1:41" s="1051" customFormat="1" ht="24.9" customHeight="1">
      <c r="A5" s="2273" t="s">
        <v>3</v>
      </c>
      <c r="B5" s="2273"/>
      <c r="C5" s="1061"/>
      <c r="D5" s="1061"/>
      <c r="E5" s="1061"/>
      <c r="F5" s="1061"/>
      <c r="G5" s="1061"/>
      <c r="H5" s="1061"/>
      <c r="I5" s="1062"/>
      <c r="J5" s="1063"/>
      <c r="K5" s="1064" t="s">
        <v>1056</v>
      </c>
      <c r="L5" s="983"/>
      <c r="M5" s="984"/>
      <c r="N5" s="984"/>
      <c r="O5" s="984"/>
      <c r="P5" s="984"/>
      <c r="Q5" s="984"/>
      <c r="R5" s="1053"/>
      <c r="S5" s="1053"/>
      <c r="T5" s="1053"/>
      <c r="U5" s="1053"/>
      <c r="V5" s="1053"/>
      <c r="W5" s="1053"/>
      <c r="X5" s="1053"/>
      <c r="Y5" s="1053"/>
      <c r="Z5" s="1053"/>
      <c r="AA5" s="1053"/>
      <c r="AB5" s="1053"/>
      <c r="AC5" s="1053"/>
      <c r="AD5" s="1053"/>
      <c r="AE5" s="1053"/>
      <c r="AF5" s="1053"/>
      <c r="AG5" s="1053"/>
      <c r="AH5" s="1053"/>
      <c r="AI5" s="1053"/>
      <c r="AJ5" s="1053"/>
      <c r="AK5" s="1053"/>
      <c r="AL5" s="1053"/>
      <c r="AM5" s="1053"/>
      <c r="AN5" s="1054"/>
      <c r="AO5" s="1054"/>
    </row>
    <row r="6" spans="1:41" ht="18.75" customHeight="1">
      <c r="A6" s="2272" t="s">
        <v>1</v>
      </c>
      <c r="B6" s="2272"/>
      <c r="C6" s="1061"/>
      <c r="D6" s="1061"/>
      <c r="E6" s="1061"/>
      <c r="F6" s="1061"/>
      <c r="G6" s="1061"/>
      <c r="H6" s="1061"/>
      <c r="I6" s="1061"/>
      <c r="J6" s="1061"/>
      <c r="K6" s="1061"/>
      <c r="L6" s="985"/>
      <c r="M6" s="986"/>
      <c r="N6" s="986"/>
      <c r="O6" s="986"/>
      <c r="P6" s="986"/>
      <c r="Q6" s="986"/>
    </row>
    <row r="7" spans="1:41" ht="18">
      <c r="A7" s="1065"/>
      <c r="B7" s="1065"/>
      <c r="C7" s="1051"/>
      <c r="D7" s="1051"/>
      <c r="E7" s="1051"/>
      <c r="F7" s="1051"/>
      <c r="G7" s="1051"/>
      <c r="H7" s="1051"/>
      <c r="I7" s="1051"/>
      <c r="J7" s="1066" t="s">
        <v>1043</v>
      </c>
      <c r="K7" s="1051"/>
      <c r="L7" s="985"/>
      <c r="M7" s="986"/>
      <c r="N7" s="986"/>
      <c r="O7" s="986"/>
      <c r="P7" s="986"/>
      <c r="Q7" s="986"/>
    </row>
    <row r="8" spans="1:41" s="1051" customFormat="1" ht="24.9" customHeight="1">
      <c r="A8" s="2273" t="s">
        <v>4</v>
      </c>
      <c r="B8" s="2273"/>
      <c r="C8" s="1067"/>
      <c r="D8" s="1067"/>
      <c r="E8" s="1067"/>
      <c r="F8" s="1067"/>
      <c r="G8" s="1067"/>
      <c r="H8" s="1067"/>
      <c r="I8" s="1067"/>
      <c r="J8" s="1068" t="s">
        <v>336</v>
      </c>
      <c r="K8" s="1067"/>
      <c r="L8" s="983"/>
      <c r="M8" s="984"/>
      <c r="N8" s="984"/>
      <c r="O8" s="984"/>
      <c r="P8" s="984"/>
      <c r="Q8" s="984"/>
      <c r="R8" s="1053"/>
      <c r="S8" s="1053"/>
      <c r="T8" s="1053"/>
      <c r="U8" s="1053"/>
      <c r="V8" s="1053"/>
      <c r="W8" s="1053"/>
      <c r="X8" s="1053"/>
      <c r="Y8" s="1053"/>
      <c r="Z8" s="1053"/>
      <c r="AA8" s="1053"/>
      <c r="AB8" s="1053"/>
      <c r="AC8" s="1053"/>
      <c r="AD8" s="1053"/>
      <c r="AE8" s="1053"/>
      <c r="AF8" s="1053"/>
      <c r="AG8" s="1053"/>
      <c r="AH8" s="1053"/>
      <c r="AI8" s="1053"/>
      <c r="AJ8" s="1053"/>
      <c r="AK8" s="1053"/>
      <c r="AL8" s="1053"/>
      <c r="AM8" s="1053"/>
      <c r="AN8" s="1054"/>
      <c r="AO8" s="1054"/>
    </row>
    <row r="9" spans="1:41">
      <c r="A9" s="2272"/>
      <c r="B9" s="2272"/>
      <c r="L9" s="985"/>
      <c r="M9" s="986"/>
      <c r="N9" s="986"/>
      <c r="O9" s="986"/>
      <c r="P9" s="986"/>
      <c r="Q9" s="986"/>
    </row>
    <row r="10" spans="1:41" ht="38.25" customHeight="1">
      <c r="A10" s="1069"/>
      <c r="B10" s="1070"/>
      <c r="J10" s="2274" t="s">
        <v>1059</v>
      </c>
      <c r="K10" s="2274"/>
      <c r="L10" s="1352"/>
      <c r="M10" s="986"/>
      <c r="N10" s="986"/>
      <c r="O10" s="986"/>
      <c r="P10" s="986"/>
      <c r="Q10" s="986"/>
    </row>
    <row r="11" spans="1:41" s="1051" customFormat="1" ht="18">
      <c r="A11" s="2275" t="s">
        <v>665</v>
      </c>
      <c r="B11" s="2275"/>
      <c r="C11" s="2275"/>
      <c r="D11" s="2275"/>
      <c r="E11" s="2275"/>
      <c r="F11" s="2275"/>
      <c r="G11" s="2275"/>
      <c r="H11" s="2275"/>
      <c r="I11" s="2275"/>
      <c r="J11" s="2275"/>
      <c r="K11" s="2275"/>
      <c r="L11" s="983"/>
      <c r="M11" s="984"/>
      <c r="N11" s="984"/>
      <c r="O11" s="984"/>
      <c r="P11" s="984"/>
      <c r="Q11" s="984"/>
      <c r="R11" s="1053"/>
      <c r="S11" s="1053"/>
      <c r="T11" s="1053"/>
      <c r="U11" s="1053"/>
      <c r="V11" s="1053"/>
      <c r="W11" s="1053"/>
      <c r="X11" s="1053"/>
      <c r="Y11" s="1053"/>
      <c r="Z11" s="1053"/>
      <c r="AA11" s="1053"/>
      <c r="AB11" s="1053"/>
      <c r="AC11" s="1053"/>
      <c r="AD11" s="1053"/>
      <c r="AE11" s="1053"/>
      <c r="AF11" s="1053"/>
      <c r="AG11" s="1053"/>
      <c r="AH11" s="1053"/>
      <c r="AI11" s="1053"/>
      <c r="AJ11" s="1053"/>
      <c r="AK11" s="1053"/>
      <c r="AL11" s="1053"/>
      <c r="AM11" s="1053"/>
      <c r="AN11" s="1054"/>
      <c r="AO11" s="1054"/>
    </row>
    <row r="12" spans="1:41" s="1051" customFormat="1" ht="18">
      <c r="A12" s="2275" t="s">
        <v>337</v>
      </c>
      <c r="B12" s="2275"/>
      <c r="C12" s="2275"/>
      <c r="D12" s="2275"/>
      <c r="E12" s="2275"/>
      <c r="F12" s="2275"/>
      <c r="G12" s="2275"/>
      <c r="H12" s="2275"/>
      <c r="I12" s="2275"/>
      <c r="J12" s="2275"/>
      <c r="K12" s="2275"/>
      <c r="L12" s="983"/>
      <c r="M12" s="984"/>
      <c r="N12" s="984"/>
      <c r="O12" s="984"/>
      <c r="P12" s="984"/>
      <c r="Q12" s="984"/>
      <c r="R12" s="1053"/>
      <c r="S12" s="1053"/>
      <c r="T12" s="1053"/>
      <c r="U12" s="1053"/>
      <c r="V12" s="1053"/>
      <c r="W12" s="1053"/>
      <c r="X12" s="1053"/>
      <c r="Y12" s="1053"/>
      <c r="Z12" s="1053"/>
      <c r="AA12" s="1053"/>
      <c r="AB12" s="1053"/>
      <c r="AC12" s="1053"/>
      <c r="AD12" s="1053"/>
      <c r="AE12" s="1053"/>
      <c r="AF12" s="1053"/>
      <c r="AG12" s="1053"/>
      <c r="AH12" s="1053"/>
      <c r="AI12" s="1053"/>
      <c r="AJ12" s="1053"/>
      <c r="AK12" s="1053"/>
      <c r="AL12" s="1053"/>
      <c r="AM12" s="1053"/>
      <c r="AN12" s="1054"/>
      <c r="AO12" s="1054"/>
    </row>
    <row r="13" spans="1:41" s="1051" customFormat="1" ht="18.600000000000001" thickBot="1">
      <c r="A13" s="1071" t="s">
        <v>6</v>
      </c>
      <c r="B13" s="1072"/>
      <c r="C13" s="1072"/>
      <c r="D13" s="1072"/>
      <c r="E13" s="1072"/>
      <c r="F13" s="1072"/>
      <c r="G13" s="1072"/>
      <c r="H13" s="1072"/>
      <c r="I13" s="1072"/>
      <c r="J13" s="1072"/>
      <c r="K13" s="1072"/>
      <c r="L13" s="983"/>
      <c r="M13" s="984"/>
      <c r="N13" s="984"/>
      <c r="O13" s="984"/>
      <c r="P13" s="984"/>
      <c r="Q13" s="984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  <c r="AG13" s="1053"/>
      <c r="AH13" s="1053"/>
      <c r="AI13" s="1053"/>
      <c r="AJ13" s="1053"/>
      <c r="AK13" s="1053"/>
      <c r="AL13" s="1053"/>
      <c r="AM13" s="1053"/>
      <c r="AN13" s="1054"/>
      <c r="AO13" s="1054"/>
    </row>
    <row r="14" spans="1:41" s="1078" customFormat="1" ht="109.5" customHeight="1" thickBot="1">
      <c r="A14" s="2239" t="s">
        <v>7</v>
      </c>
      <c r="B14" s="2238" t="s">
        <v>8</v>
      </c>
      <c r="C14" s="2238"/>
      <c r="D14" s="1073" t="s">
        <v>1018</v>
      </c>
      <c r="E14" s="1074" t="str">
        <f>'Pl 2016-20 PFC'!E67</f>
        <v>Przewidywane 
wykonanie 
w 2015</v>
      </c>
      <c r="F14" s="1074" t="str">
        <f>'Pl 2016-20 PFC'!F67</f>
        <v>Projekt planu 
na 2016 r.</v>
      </c>
      <c r="G14" s="1074" t="str">
        <f>'Pl 2016-20 PFC'!G67</f>
        <v>Plan wg Ustawy Budżetowej 
na 2016 r.</v>
      </c>
      <c r="H14" s="1074" t="s">
        <v>1016</v>
      </c>
      <c r="I14" s="1074" t="str">
        <f>'Pl 2016-20 PFC'!H67</f>
        <v xml:space="preserve">Zmiany  </v>
      </c>
      <c r="J14" s="1074" t="str">
        <f>'Pl 2016-20 PFC'!I67</f>
        <v xml:space="preserve">Plan 
po zmianach </v>
      </c>
      <c r="K14" s="1074" t="e">
        <f>'Pl 2016-20 PFC'!#REF!</f>
        <v>#REF!</v>
      </c>
      <c r="L14" s="1075" t="s">
        <v>1063</v>
      </c>
      <c r="M14" s="988"/>
      <c r="N14" s="988"/>
      <c r="O14" s="988"/>
      <c r="P14" s="1020">
        <f>G18-G41-G39</f>
        <v>4668646500</v>
      </c>
      <c r="Q14" s="1020"/>
      <c r="R14" s="1020">
        <f t="shared" ref="R14:Z14" si="0">I18-I41-I39</f>
        <v>4623897500</v>
      </c>
      <c r="S14" s="1020">
        <f t="shared" si="0"/>
        <v>4674575500</v>
      </c>
      <c r="T14" s="1020">
        <f t="shared" si="0"/>
        <v>4704267500</v>
      </c>
      <c r="U14" s="1020">
        <f t="shared" si="0"/>
        <v>-116.80381295898387</v>
      </c>
      <c r="V14" s="1020">
        <f t="shared" si="0"/>
        <v>0</v>
      </c>
      <c r="W14" s="1020">
        <f t="shared" si="0"/>
        <v>4752677847.0700006</v>
      </c>
      <c r="X14" s="1020">
        <f t="shared" si="0"/>
        <v>5073344226</v>
      </c>
      <c r="Y14" s="1020">
        <f t="shared" si="0"/>
        <v>4825237600</v>
      </c>
      <c r="Z14" s="1020">
        <f t="shared" si="0"/>
        <v>4876830600</v>
      </c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076"/>
      <c r="AL14" s="1076"/>
      <c r="AM14" s="1076"/>
      <c r="AN14" s="1077"/>
      <c r="AO14" s="1077"/>
    </row>
    <row r="15" spans="1:41" s="1078" customFormat="1" ht="16.5" customHeight="1" thickBot="1">
      <c r="A15" s="2239"/>
      <c r="B15" s="2238"/>
      <c r="C15" s="2238"/>
      <c r="D15" s="1079"/>
      <c r="E15" s="2270" t="str">
        <f>'Pl 2016-20 PFC'!E16:I16</f>
        <v>w tysiącach złotych</v>
      </c>
      <c r="F15" s="2270"/>
      <c r="G15" s="2270"/>
      <c r="H15" s="2270"/>
      <c r="I15" s="2270"/>
      <c r="J15" s="2270"/>
      <c r="K15" s="2270"/>
      <c r="L15" s="987"/>
      <c r="M15" s="988"/>
      <c r="N15" s="988"/>
      <c r="O15" s="988"/>
      <c r="P15" s="1020">
        <f>G147</f>
        <v>4668646500</v>
      </c>
      <c r="Q15" s="1020"/>
      <c r="R15" s="1020">
        <f>I147</f>
        <v>4623897500</v>
      </c>
      <c r="S15" s="1020">
        <f>J147</f>
        <v>4674575500</v>
      </c>
      <c r="T15" s="1020">
        <f>K147</f>
        <v>4704267500</v>
      </c>
      <c r="U15" s="1020">
        <f>L147</f>
        <v>102.88681521801703</v>
      </c>
      <c r="V15" s="1076"/>
      <c r="W15" s="1076"/>
      <c r="X15" s="1076"/>
      <c r="Y15" s="1076"/>
      <c r="Z15" s="1076"/>
      <c r="AA15" s="1076"/>
      <c r="AB15" s="1076"/>
      <c r="AC15" s="1076"/>
      <c r="AD15" s="1076"/>
      <c r="AE15" s="1076"/>
      <c r="AF15" s="1076"/>
      <c r="AG15" s="1076"/>
      <c r="AH15" s="1076"/>
      <c r="AI15" s="1076"/>
      <c r="AJ15" s="1076"/>
      <c r="AK15" s="1076"/>
      <c r="AL15" s="1076"/>
      <c r="AM15" s="1076"/>
      <c r="AN15" s="1077"/>
      <c r="AO15" s="1077"/>
    </row>
    <row r="16" spans="1:41" s="1087" customFormat="1" ht="14.4" thickBot="1">
      <c r="A16" s="1080">
        <v>1</v>
      </c>
      <c r="B16" s="1081">
        <v>2</v>
      </c>
      <c r="C16" s="1082"/>
      <c r="D16" s="1082"/>
      <c r="E16" s="1083">
        <v>3</v>
      </c>
      <c r="F16" s="1084">
        <v>4</v>
      </c>
      <c r="G16" s="1084">
        <v>4</v>
      </c>
      <c r="H16" s="1084"/>
      <c r="I16" s="1084">
        <v>5</v>
      </c>
      <c r="J16" s="1084">
        <v>6</v>
      </c>
      <c r="K16" s="1083">
        <v>7</v>
      </c>
      <c r="L16" s="989"/>
      <c r="M16" s="990"/>
      <c r="N16" s="990"/>
      <c r="O16" s="990"/>
      <c r="P16" s="990"/>
      <c r="Q16" s="990"/>
      <c r="R16" s="1085"/>
      <c r="S16" s="1085"/>
      <c r="T16" s="1085"/>
      <c r="U16" s="1085"/>
      <c r="V16" s="1085"/>
      <c r="W16" s="1085"/>
      <c r="X16" s="1085"/>
      <c r="Y16" s="1085"/>
      <c r="Z16" s="1085"/>
      <c r="AA16" s="1085"/>
      <c r="AB16" s="1085"/>
      <c r="AC16" s="1085"/>
      <c r="AD16" s="1085"/>
      <c r="AE16" s="1085"/>
      <c r="AF16" s="1085"/>
      <c r="AG16" s="1085"/>
      <c r="AH16" s="1085"/>
      <c r="AI16" s="1085"/>
      <c r="AJ16" s="1085"/>
      <c r="AK16" s="1085"/>
      <c r="AL16" s="1085"/>
      <c r="AM16" s="1085"/>
      <c r="AN16" s="1086"/>
      <c r="AO16" s="1086"/>
    </row>
    <row r="17" spans="1:41" s="1087" customFormat="1" ht="9.9" customHeight="1">
      <c r="A17" s="1088"/>
      <c r="B17" s="1089"/>
      <c r="C17" s="1090"/>
      <c r="D17" s="1090"/>
      <c r="E17" s="1091"/>
      <c r="F17" s="1091"/>
      <c r="G17" s="1091"/>
      <c r="H17" s="1091"/>
      <c r="I17" s="1091"/>
      <c r="J17" s="1091"/>
      <c r="K17" s="1092"/>
      <c r="L17" s="1093"/>
      <c r="M17" s="990"/>
      <c r="N17" s="990"/>
      <c r="O17" s="990"/>
      <c r="P17" s="990"/>
      <c r="Q17" s="990"/>
      <c r="R17" s="1085"/>
      <c r="S17" s="1085"/>
      <c r="T17" s="1085"/>
      <c r="U17" s="1085"/>
      <c r="V17" s="1085"/>
      <c r="W17" s="1085"/>
      <c r="X17" s="1085"/>
      <c r="Y17" s="1085"/>
      <c r="Z17" s="1085"/>
      <c r="AA17" s="1085"/>
      <c r="AB17" s="1085"/>
      <c r="AC17" s="1085"/>
      <c r="AD17" s="1085"/>
      <c r="AE17" s="1085"/>
      <c r="AF17" s="1085"/>
      <c r="AG17" s="1085"/>
      <c r="AH17" s="1085"/>
      <c r="AI17" s="1085"/>
      <c r="AJ17" s="1085"/>
      <c r="AK17" s="1085"/>
      <c r="AL17" s="1085"/>
      <c r="AM17" s="1085"/>
      <c r="AN17" s="1086"/>
      <c r="AO17" s="1086"/>
    </row>
    <row r="18" spans="1:41" s="1101" customFormat="1">
      <c r="A18" s="1094" t="s">
        <v>515</v>
      </c>
      <c r="B18" s="2271" t="s">
        <v>11</v>
      </c>
      <c r="C18" s="2271"/>
      <c r="D18" s="1095" t="e">
        <f>SUM(#REF!)</f>
        <v>#REF!</v>
      </c>
      <c r="E18" s="1096">
        <v>4752677847.0699997</v>
      </c>
      <c r="F18" s="1096">
        <v>5063344226</v>
      </c>
      <c r="G18" s="1096">
        <v>4874087500</v>
      </c>
      <c r="H18" s="1096">
        <v>189256726</v>
      </c>
      <c r="I18" s="1096">
        <v>4825237600</v>
      </c>
      <c r="J18" s="1096">
        <v>4876830600</v>
      </c>
      <c r="K18" s="1096">
        <v>4906947600</v>
      </c>
      <c r="L18" s="1097">
        <v>102.55455254567377</v>
      </c>
      <c r="M18" s="992"/>
      <c r="N18" s="993">
        <f>E147+E41+E39</f>
        <v>4752677847.0700006</v>
      </c>
      <c r="O18" s="993">
        <f>F147+F41+F39</f>
        <v>5073344226</v>
      </c>
      <c r="P18" s="1025">
        <f>I147+I41+I39</f>
        <v>4825237600</v>
      </c>
      <c r="Q18" s="1025">
        <f>J147+J41+J39</f>
        <v>4876830600</v>
      </c>
      <c r="R18" s="1098">
        <f>K147+K41+K39</f>
        <v>4906947600</v>
      </c>
      <c r="S18" s="1098"/>
      <c r="T18" s="1098">
        <f>G147+G41+G39</f>
        <v>4874087500</v>
      </c>
      <c r="U18" s="1099"/>
      <c r="V18" s="1100"/>
      <c r="W18" s="1100"/>
      <c r="X18" s="1100"/>
      <c r="Y18" s="1100"/>
      <c r="Z18" s="1100"/>
      <c r="AA18" s="1099">
        <f>E18-E81</f>
        <v>28954847.069999695</v>
      </c>
      <c r="AB18" s="1100"/>
      <c r="AC18" s="1100"/>
      <c r="AD18" s="1100"/>
      <c r="AE18" s="1100"/>
      <c r="AF18" s="1100"/>
      <c r="AG18" s="1100"/>
      <c r="AH18" s="1100"/>
      <c r="AI18" s="1100"/>
      <c r="AJ18" s="1100"/>
      <c r="AK18" s="1100"/>
      <c r="AL18" s="1100"/>
      <c r="AM18" s="1100"/>
      <c r="AN18" s="1100"/>
      <c r="AO18" s="1100"/>
    </row>
    <row r="19" spans="1:41" s="1042" customFormat="1">
      <c r="A19" s="1102"/>
      <c r="B19" s="2268"/>
      <c r="C19" s="2268"/>
      <c r="D19" s="1103"/>
      <c r="E19" s="1104"/>
      <c r="F19" s="1104"/>
      <c r="G19" s="1104"/>
      <c r="H19" s="1104"/>
      <c r="I19" s="1104"/>
      <c r="J19" s="1104"/>
      <c r="K19" s="1104"/>
      <c r="L19" s="1105"/>
      <c r="M19" s="994"/>
      <c r="N19" s="995">
        <f>E18-N18</f>
        <v>0</v>
      </c>
      <c r="O19" s="995">
        <f>F18-O18</f>
        <v>-10000000</v>
      </c>
      <c r="P19" s="995">
        <f>I18-P18</f>
        <v>0</v>
      </c>
      <c r="Q19" s="995">
        <f>J18-Q18</f>
        <v>0</v>
      </c>
      <c r="R19" s="1106">
        <f>K18-R18</f>
        <v>0</v>
      </c>
      <c r="S19" s="1106"/>
      <c r="T19" s="1106">
        <f>G18-G18</f>
        <v>0</v>
      </c>
      <c r="U19" s="1106"/>
      <c r="V19" s="1107"/>
      <c r="W19" s="1107"/>
      <c r="X19" s="1107"/>
      <c r="Y19" s="1107"/>
      <c r="Z19" s="1107"/>
      <c r="AA19" s="1107"/>
      <c r="AB19" s="1107"/>
      <c r="AC19" s="1107"/>
      <c r="AD19" s="1107"/>
      <c r="AE19" s="1107"/>
      <c r="AF19" s="1107"/>
      <c r="AG19" s="1107"/>
      <c r="AH19" s="1107"/>
      <c r="AI19" s="1107"/>
      <c r="AJ19" s="1107"/>
      <c r="AK19" s="1107"/>
      <c r="AL19" s="1107"/>
      <c r="AM19" s="1107"/>
      <c r="AN19" s="1041"/>
      <c r="AO19" s="1041"/>
    </row>
    <row r="20" spans="1:41" s="1042" customFormat="1" ht="31.2">
      <c r="A20" s="1036">
        <v>1</v>
      </c>
      <c r="B20" s="1037" t="s">
        <v>649</v>
      </c>
      <c r="C20" s="1038"/>
      <c r="D20" s="1039" t="e">
        <f>SUM(#REF!)</f>
        <v>#REF!</v>
      </c>
      <c r="E20" s="1040">
        <v>3338649.71</v>
      </c>
      <c r="F20" s="1040"/>
      <c r="G20" s="1040">
        <v>49500000</v>
      </c>
      <c r="H20" s="1040"/>
      <c r="I20" s="1040">
        <v>49500000</v>
      </c>
      <c r="J20" s="1040">
        <v>49500000</v>
      </c>
      <c r="K20" s="1040">
        <v>49500000</v>
      </c>
      <c r="L20" s="1045">
        <v>1482.6353256448697</v>
      </c>
      <c r="M20" s="997"/>
      <c r="N20" s="997"/>
      <c r="O20" s="997"/>
      <c r="P20" s="997"/>
      <c r="Q20" s="997"/>
      <c r="R20" s="1041"/>
      <c r="S20" s="1041"/>
      <c r="T20" s="1041"/>
      <c r="U20" s="1041"/>
      <c r="V20" s="1041"/>
      <c r="W20" s="1041"/>
      <c r="X20" s="1041"/>
      <c r="Y20" s="1041"/>
      <c r="Z20" s="1041"/>
      <c r="AA20" s="1041"/>
      <c r="AB20" s="1041"/>
      <c r="AC20" s="1041"/>
      <c r="AD20" s="1041"/>
      <c r="AE20" s="1041"/>
      <c r="AF20" s="1041"/>
      <c r="AG20" s="1041"/>
      <c r="AH20" s="1041"/>
      <c r="AI20" s="1041"/>
      <c r="AJ20" s="1041"/>
      <c r="AK20" s="1041"/>
      <c r="AL20" s="1041"/>
      <c r="AM20" s="1041"/>
      <c r="AN20" s="1041"/>
      <c r="AO20" s="1041"/>
    </row>
    <row r="21" spans="1:41" s="1042" customFormat="1">
      <c r="A21" s="1036">
        <v>2</v>
      </c>
      <c r="B21" s="1043" t="s">
        <v>338</v>
      </c>
      <c r="C21" s="1038"/>
      <c r="D21" s="1039" t="e">
        <f>SUM(#REF!)</f>
        <v>#REF!</v>
      </c>
      <c r="E21" s="1040">
        <v>33274808.960000001</v>
      </c>
      <c r="F21" s="1044"/>
      <c r="G21" s="1044">
        <v>0</v>
      </c>
      <c r="H21" s="1040"/>
      <c r="I21" s="1044">
        <v>0</v>
      </c>
      <c r="J21" s="1044">
        <v>0</v>
      </c>
      <c r="K21" s="1044">
        <v>0</v>
      </c>
      <c r="L21" s="1046">
        <f t="shared" ref="L21:L45" si="1">G21/E21%</f>
        <v>0</v>
      </c>
      <c r="M21" s="997"/>
      <c r="N21" s="997"/>
      <c r="O21" s="997"/>
      <c r="P21" s="997"/>
      <c r="Q21" s="997"/>
      <c r="R21" s="1041"/>
      <c r="S21" s="1041"/>
      <c r="T21" s="1041"/>
      <c r="U21" s="1041"/>
      <c r="V21" s="1041"/>
      <c r="W21" s="1041"/>
      <c r="X21" s="1041"/>
      <c r="Y21" s="1041"/>
      <c r="Z21" s="1041"/>
      <c r="AA21" s="1041"/>
      <c r="AB21" s="1041"/>
      <c r="AC21" s="1041"/>
      <c r="AD21" s="1041"/>
      <c r="AE21" s="1041"/>
      <c r="AF21" s="1041"/>
      <c r="AG21" s="1041"/>
      <c r="AH21" s="1041"/>
      <c r="AI21" s="1041"/>
      <c r="AJ21" s="1041"/>
      <c r="AK21" s="1041"/>
      <c r="AL21" s="1041"/>
      <c r="AM21" s="1041"/>
      <c r="AN21" s="1041"/>
      <c r="AO21" s="1041"/>
    </row>
    <row r="22" spans="1:41" s="1042" customFormat="1">
      <c r="A22" s="1036">
        <v>3</v>
      </c>
      <c r="B22" s="1043" t="s">
        <v>23</v>
      </c>
      <c r="C22" s="1038"/>
      <c r="D22" s="1039" t="e">
        <f>SUM(#REF!)</f>
        <v>#REF!</v>
      </c>
      <c r="E22" s="1040">
        <v>2980196000</v>
      </c>
      <c r="F22" s="1044"/>
      <c r="G22" s="1044">
        <v>3020000000</v>
      </c>
      <c r="H22" s="1040"/>
      <c r="I22" s="1044">
        <v>3020000000</v>
      </c>
      <c r="J22" s="1044">
        <v>3020000000</v>
      </c>
      <c r="K22" s="1044">
        <v>3020000000</v>
      </c>
      <c r="L22" s="1046">
        <f t="shared" si="1"/>
        <v>101.33561685204597</v>
      </c>
      <c r="M22" s="997"/>
      <c r="N22" s="997"/>
      <c r="O22" s="997"/>
      <c r="P22" s="997"/>
      <c r="Q22" s="997"/>
      <c r="R22" s="1041"/>
      <c r="S22" s="1041"/>
      <c r="T22" s="1041"/>
      <c r="U22" s="1041"/>
      <c r="V22" s="1041"/>
      <c r="W22" s="1041"/>
      <c r="X22" s="1041"/>
      <c r="Y22" s="1041"/>
      <c r="Z22" s="1041"/>
      <c r="AA22" s="1041"/>
      <c r="AB22" s="1041"/>
      <c r="AC22" s="1041"/>
      <c r="AD22" s="1041"/>
      <c r="AE22" s="1041"/>
      <c r="AF22" s="1041"/>
      <c r="AG22" s="1041"/>
      <c r="AH22" s="1041"/>
      <c r="AI22" s="1041"/>
      <c r="AJ22" s="1041"/>
      <c r="AK22" s="1041"/>
      <c r="AL22" s="1041"/>
      <c r="AM22" s="1041"/>
      <c r="AN22" s="1041"/>
      <c r="AO22" s="1041"/>
    </row>
    <row r="23" spans="1:41" s="1042" customFormat="1" ht="46.8">
      <c r="A23" s="1036">
        <v>4</v>
      </c>
      <c r="B23" s="1108" t="s">
        <v>648</v>
      </c>
      <c r="C23" s="1038"/>
      <c r="D23" s="1039" t="e">
        <f>SUM(#REF!)</f>
        <v>#REF!</v>
      </c>
      <c r="E23" s="1040">
        <v>56000000</v>
      </c>
      <c r="F23" s="1040"/>
      <c r="G23" s="1040">
        <v>57000000</v>
      </c>
      <c r="H23" s="1040"/>
      <c r="I23" s="1040">
        <v>58000000</v>
      </c>
      <c r="J23" s="1040">
        <v>59000000</v>
      </c>
      <c r="K23" s="1040">
        <v>60000000</v>
      </c>
      <c r="L23" s="1045">
        <f t="shared" si="1"/>
        <v>101.78571428571429</v>
      </c>
      <c r="M23" s="997"/>
      <c r="N23" s="997"/>
      <c r="O23" s="997"/>
      <c r="P23" s="997"/>
      <c r="Q23" s="997"/>
      <c r="R23" s="1041"/>
      <c r="S23" s="1041"/>
      <c r="T23" s="1041"/>
      <c r="U23" s="1041"/>
      <c r="V23" s="1041"/>
      <c r="W23" s="1041"/>
      <c r="X23" s="1041"/>
      <c r="Y23" s="1041"/>
      <c r="Z23" s="1041"/>
      <c r="AA23" s="1041"/>
      <c r="AB23" s="1041"/>
      <c r="AC23" s="1041"/>
      <c r="AD23" s="1041"/>
      <c r="AE23" s="1041"/>
      <c r="AF23" s="1041"/>
      <c r="AG23" s="1041"/>
      <c r="AH23" s="1041"/>
      <c r="AI23" s="1041"/>
      <c r="AJ23" s="1041"/>
      <c r="AK23" s="1041"/>
      <c r="AL23" s="1041"/>
      <c r="AM23" s="1041"/>
      <c r="AN23" s="1041"/>
      <c r="AO23" s="1041"/>
    </row>
    <row r="24" spans="1:41" s="1042" customFormat="1">
      <c r="A24" s="1036">
        <v>5</v>
      </c>
      <c r="B24" s="1043" t="s">
        <v>26</v>
      </c>
      <c r="C24" s="1038"/>
      <c r="D24" s="1039" t="e">
        <f>SUM(#REF!)</f>
        <v>#REF!</v>
      </c>
      <c r="E24" s="1040">
        <v>3281673.5</v>
      </c>
      <c r="F24" s="1040">
        <v>4220000</v>
      </c>
      <c r="G24" s="1040">
        <v>3220000</v>
      </c>
      <c r="H24" s="1040">
        <v>-1000000</v>
      </c>
      <c r="I24" s="1040">
        <v>3000000</v>
      </c>
      <c r="J24" s="1040">
        <v>3000000</v>
      </c>
      <c r="K24" s="1040">
        <v>3000000</v>
      </c>
      <c r="L24" s="1046">
        <f t="shared" si="1"/>
        <v>98.120669225625278</v>
      </c>
      <c r="M24" s="997"/>
      <c r="N24" s="997"/>
      <c r="O24" s="997"/>
      <c r="P24" s="997"/>
      <c r="Q24" s="997"/>
      <c r="R24" s="1041"/>
      <c r="S24" s="1041"/>
      <c r="T24" s="1041"/>
      <c r="U24" s="1041"/>
      <c r="V24" s="1041"/>
      <c r="W24" s="1041"/>
      <c r="X24" s="1041"/>
      <c r="Y24" s="1041"/>
      <c r="Z24" s="1041"/>
      <c r="AA24" s="1041"/>
      <c r="AB24" s="1041"/>
      <c r="AC24" s="1041"/>
      <c r="AD24" s="1041"/>
      <c r="AE24" s="1041"/>
      <c r="AF24" s="1041"/>
      <c r="AG24" s="1041"/>
      <c r="AH24" s="1041"/>
      <c r="AI24" s="1041"/>
      <c r="AJ24" s="1041"/>
      <c r="AK24" s="1041"/>
      <c r="AL24" s="1041"/>
      <c r="AM24" s="1041"/>
      <c r="AN24" s="1041"/>
      <c r="AO24" s="1041"/>
    </row>
    <row r="25" spans="1:41" s="1042" customFormat="1">
      <c r="A25" s="1036">
        <v>6</v>
      </c>
      <c r="B25" s="1043" t="s">
        <v>30</v>
      </c>
      <c r="C25" s="1038"/>
      <c r="D25" s="1039" t="e">
        <f>#REF!</f>
        <v>#REF!</v>
      </c>
      <c r="E25" s="1040">
        <v>3000</v>
      </c>
      <c r="F25" s="1040">
        <v>3000</v>
      </c>
      <c r="G25" s="1040">
        <v>3000</v>
      </c>
      <c r="H25" s="1040">
        <v>0</v>
      </c>
      <c r="I25" s="1040">
        <v>3000</v>
      </c>
      <c r="J25" s="1040">
        <v>3000</v>
      </c>
      <c r="K25" s="1040">
        <v>3000</v>
      </c>
      <c r="L25" s="1046">
        <f t="shared" si="1"/>
        <v>100</v>
      </c>
      <c r="M25" s="997"/>
      <c r="N25" s="997"/>
      <c r="O25" s="997"/>
      <c r="P25" s="997"/>
      <c r="Q25" s="997"/>
      <c r="R25" s="1041"/>
      <c r="S25" s="1041"/>
      <c r="T25" s="1041"/>
      <c r="U25" s="1041"/>
      <c r="V25" s="1041"/>
      <c r="W25" s="1041"/>
      <c r="X25" s="1041"/>
      <c r="Y25" s="1041"/>
      <c r="Z25" s="1041"/>
      <c r="AA25" s="1041"/>
      <c r="AB25" s="1041"/>
      <c r="AC25" s="1041"/>
      <c r="AD25" s="1041"/>
      <c r="AE25" s="1041"/>
      <c r="AF25" s="1041"/>
      <c r="AG25" s="1041"/>
      <c r="AH25" s="1041"/>
      <c r="AI25" s="1041"/>
      <c r="AJ25" s="1041"/>
      <c r="AK25" s="1041"/>
      <c r="AL25" s="1041"/>
      <c r="AM25" s="1041"/>
      <c r="AN25" s="1041"/>
      <c r="AO25" s="1041"/>
    </row>
    <row r="26" spans="1:41" s="1042" customFormat="1">
      <c r="A26" s="1036">
        <v>7</v>
      </c>
      <c r="B26" s="1043" t="s">
        <v>32</v>
      </c>
      <c r="C26" s="1038"/>
      <c r="D26" s="1039" t="e">
        <f>SUM(#REF!)</f>
        <v>#REF!</v>
      </c>
      <c r="E26" s="1040">
        <v>110089218.59</v>
      </c>
      <c r="F26" s="1040">
        <v>182120000</v>
      </c>
      <c r="G26" s="1040">
        <v>142120000</v>
      </c>
      <c r="H26" s="1040">
        <v>-40000000</v>
      </c>
      <c r="I26" s="1040">
        <v>84320000</v>
      </c>
      <c r="J26" s="1040">
        <v>135320000</v>
      </c>
      <c r="K26" s="1040">
        <v>165320000</v>
      </c>
      <c r="L26" s="1046">
        <f t="shared" si="1"/>
        <v>129.09529363569263</v>
      </c>
      <c r="M26" s="997"/>
      <c r="N26" s="997"/>
      <c r="O26" s="997"/>
      <c r="P26" s="997"/>
      <c r="Q26" s="997"/>
      <c r="R26" s="1041"/>
      <c r="S26" s="1041"/>
      <c r="T26" s="1041"/>
      <c r="U26" s="1041"/>
      <c r="V26" s="1041"/>
      <c r="W26" s="1041"/>
      <c r="X26" s="1041"/>
      <c r="Y26" s="1041"/>
      <c r="Z26" s="1041"/>
      <c r="AA26" s="1041"/>
      <c r="AB26" s="1041"/>
      <c r="AC26" s="1041"/>
      <c r="AD26" s="1041"/>
      <c r="AE26" s="1041"/>
      <c r="AF26" s="1041"/>
      <c r="AG26" s="1041"/>
      <c r="AH26" s="1041"/>
      <c r="AI26" s="1041"/>
      <c r="AJ26" s="1041"/>
      <c r="AK26" s="1041"/>
      <c r="AL26" s="1041"/>
      <c r="AM26" s="1041"/>
      <c r="AN26" s="1041"/>
      <c r="AO26" s="1041"/>
    </row>
    <row r="27" spans="1:41" s="1042" customFormat="1">
      <c r="A27" s="1036">
        <v>8</v>
      </c>
      <c r="B27" s="1043" t="s">
        <v>36</v>
      </c>
      <c r="C27" s="1038"/>
      <c r="D27" s="1039" t="e">
        <f>SUM(#REF!)</f>
        <v>#REF!</v>
      </c>
      <c r="E27" s="1040">
        <v>2000000</v>
      </c>
      <c r="F27" s="1040">
        <v>3000000</v>
      </c>
      <c r="G27" s="1040">
        <v>2500000</v>
      </c>
      <c r="H27" s="1040">
        <v>-500000</v>
      </c>
      <c r="I27" s="1040">
        <v>2500000</v>
      </c>
      <c r="J27" s="1040">
        <v>2500000</v>
      </c>
      <c r="K27" s="1040">
        <v>2500000</v>
      </c>
      <c r="L27" s="1046">
        <f t="shared" si="1"/>
        <v>125</v>
      </c>
      <c r="M27" s="997"/>
      <c r="N27" s="997"/>
      <c r="O27" s="997"/>
      <c r="P27" s="997"/>
      <c r="Q27" s="997"/>
      <c r="R27" s="1041"/>
      <c r="S27" s="1041"/>
      <c r="T27" s="1041"/>
      <c r="U27" s="1041"/>
      <c r="V27" s="1041"/>
      <c r="W27" s="1041"/>
      <c r="X27" s="1041"/>
      <c r="Y27" s="1041"/>
      <c r="Z27" s="1041"/>
      <c r="AA27" s="1041"/>
      <c r="AB27" s="1041"/>
      <c r="AC27" s="1041"/>
      <c r="AD27" s="1041"/>
      <c r="AE27" s="1041"/>
      <c r="AF27" s="1041"/>
      <c r="AG27" s="1041"/>
      <c r="AH27" s="1041"/>
      <c r="AI27" s="1041"/>
      <c r="AJ27" s="1041"/>
      <c r="AK27" s="1041"/>
      <c r="AL27" s="1041"/>
      <c r="AM27" s="1041"/>
      <c r="AN27" s="1041"/>
      <c r="AO27" s="1041"/>
    </row>
    <row r="28" spans="1:41" s="1042" customFormat="1">
      <c r="A28" s="1036">
        <v>9</v>
      </c>
      <c r="B28" s="1037" t="s">
        <v>542</v>
      </c>
      <c r="C28" s="1038"/>
      <c r="D28" s="1039" t="e">
        <f>SUM(#REF!)</f>
        <v>#REF!</v>
      </c>
      <c r="E28" s="1040">
        <v>7000000</v>
      </c>
      <c r="F28" s="1040">
        <v>14000000</v>
      </c>
      <c r="G28" s="1040">
        <v>10000000</v>
      </c>
      <c r="H28" s="1040">
        <v>-4000000</v>
      </c>
      <c r="I28" s="1040">
        <v>10000000</v>
      </c>
      <c r="J28" s="1040">
        <v>10000000</v>
      </c>
      <c r="K28" s="1040">
        <v>10000000</v>
      </c>
      <c r="L28" s="1045">
        <f t="shared" si="1"/>
        <v>142.85714285714286</v>
      </c>
      <c r="M28" s="997"/>
      <c r="N28" s="997"/>
      <c r="O28" s="997"/>
      <c r="P28" s="997"/>
      <c r="Q28" s="997"/>
      <c r="R28" s="1041"/>
      <c r="S28" s="1041"/>
      <c r="T28" s="1041"/>
      <c r="U28" s="1041"/>
      <c r="V28" s="1041"/>
      <c r="W28" s="1041"/>
      <c r="X28" s="1041"/>
      <c r="Y28" s="1041"/>
      <c r="Z28" s="1041"/>
      <c r="AA28" s="1041"/>
      <c r="AB28" s="1041"/>
      <c r="AC28" s="1041"/>
      <c r="AD28" s="1041"/>
      <c r="AE28" s="1041"/>
      <c r="AF28" s="1041"/>
      <c r="AG28" s="1041"/>
      <c r="AH28" s="1041"/>
      <c r="AI28" s="1041"/>
      <c r="AJ28" s="1041"/>
      <c r="AK28" s="1041"/>
      <c r="AL28" s="1041"/>
      <c r="AM28" s="1041"/>
      <c r="AN28" s="1041"/>
      <c r="AO28" s="1041"/>
    </row>
    <row r="29" spans="1:41" s="1042" customFormat="1">
      <c r="A29" s="1036">
        <v>10</v>
      </c>
      <c r="B29" s="1043" t="s">
        <v>43</v>
      </c>
      <c r="C29" s="1038"/>
      <c r="D29" s="1039" t="e">
        <f>SUM(#REF!)</f>
        <v>#REF!</v>
      </c>
      <c r="E29" s="1040">
        <v>94610000</v>
      </c>
      <c r="F29" s="1040">
        <v>105837000</v>
      </c>
      <c r="G29" s="1040">
        <v>97600000</v>
      </c>
      <c r="H29" s="1040">
        <v>-8237000</v>
      </c>
      <c r="I29" s="1040">
        <v>111593000</v>
      </c>
      <c r="J29" s="1040">
        <v>117675000</v>
      </c>
      <c r="K29" s="1040">
        <v>124102000</v>
      </c>
      <c r="L29" s="1046">
        <f t="shared" si="1"/>
        <v>103.1603424585139</v>
      </c>
      <c r="M29" s="997"/>
      <c r="N29" s="997"/>
      <c r="O29" s="997"/>
      <c r="P29" s="997"/>
      <c r="Q29" s="997"/>
      <c r="R29" s="1041"/>
      <c r="S29" s="1041"/>
      <c r="T29" s="1041"/>
      <c r="U29" s="1041"/>
      <c r="V29" s="1041"/>
      <c r="W29" s="1041"/>
      <c r="X29" s="1041"/>
      <c r="Y29" s="1041"/>
      <c r="Z29" s="1041"/>
      <c r="AA29" s="1041"/>
      <c r="AB29" s="1041"/>
      <c r="AC29" s="1041"/>
      <c r="AD29" s="1041"/>
      <c r="AE29" s="1041"/>
      <c r="AF29" s="1041"/>
      <c r="AG29" s="1041"/>
      <c r="AH29" s="1041"/>
      <c r="AI29" s="1041"/>
      <c r="AJ29" s="1041"/>
      <c r="AK29" s="1041"/>
      <c r="AL29" s="1041"/>
      <c r="AM29" s="1041"/>
      <c r="AN29" s="1041"/>
      <c r="AO29" s="1041"/>
    </row>
    <row r="30" spans="1:41" s="1042" customFormat="1">
      <c r="A30" s="1036">
        <v>11</v>
      </c>
      <c r="B30" s="1043" t="s">
        <v>45</v>
      </c>
      <c r="C30" s="1038"/>
      <c r="D30" s="1039" t="e">
        <f>SUM(#REF!)</f>
        <v>#REF!</v>
      </c>
      <c r="E30" s="1040">
        <v>173145000</v>
      </c>
      <c r="F30" s="1040">
        <v>275000000</v>
      </c>
      <c r="G30" s="1040">
        <v>175000000</v>
      </c>
      <c r="H30" s="1040">
        <v>-100000000</v>
      </c>
      <c r="I30" s="1040">
        <v>175000000</v>
      </c>
      <c r="J30" s="1040">
        <v>175000000</v>
      </c>
      <c r="K30" s="1040">
        <v>175000000</v>
      </c>
      <c r="L30" s="1046">
        <f t="shared" si="1"/>
        <v>101.07135637760258</v>
      </c>
      <c r="M30" s="997"/>
      <c r="N30" s="997"/>
      <c r="O30" s="997"/>
      <c r="P30" s="997"/>
      <c r="Q30" s="997"/>
      <c r="R30" s="1041"/>
      <c r="S30" s="1041"/>
      <c r="T30" s="1041"/>
      <c r="U30" s="1041"/>
      <c r="V30" s="1041"/>
      <c r="W30" s="1041"/>
      <c r="X30" s="1041"/>
      <c r="Y30" s="1041"/>
      <c r="Z30" s="1041"/>
      <c r="AA30" s="1041"/>
      <c r="AB30" s="1041"/>
      <c r="AC30" s="1041"/>
      <c r="AD30" s="1041"/>
      <c r="AE30" s="1041"/>
      <c r="AF30" s="1041"/>
      <c r="AG30" s="1041"/>
      <c r="AH30" s="1041"/>
      <c r="AI30" s="1041"/>
      <c r="AJ30" s="1041"/>
      <c r="AK30" s="1041"/>
      <c r="AL30" s="1041"/>
      <c r="AM30" s="1041"/>
      <c r="AN30" s="1041"/>
      <c r="AO30" s="1041"/>
    </row>
    <row r="31" spans="1:41" s="1042" customFormat="1">
      <c r="A31" s="1036">
        <v>12</v>
      </c>
      <c r="B31" s="1043" t="s">
        <v>49</v>
      </c>
      <c r="C31" s="1038"/>
      <c r="D31" s="1039">
        <f>D108</f>
        <v>915783000</v>
      </c>
      <c r="E31" s="1040">
        <v>915783000</v>
      </c>
      <c r="F31" s="1040">
        <v>922378500</v>
      </c>
      <c r="G31" s="1040">
        <v>922378500</v>
      </c>
      <c r="H31" s="1040">
        <v>0</v>
      </c>
      <c r="I31" s="1040">
        <v>922378500</v>
      </c>
      <c r="J31" s="1040">
        <v>922378500</v>
      </c>
      <c r="K31" s="1040">
        <v>922378500</v>
      </c>
      <c r="L31" s="1046">
        <f t="shared" si="1"/>
        <v>100.72020336695483</v>
      </c>
      <c r="M31" s="997"/>
      <c r="N31" s="997"/>
      <c r="O31" s="997"/>
      <c r="P31" s="997"/>
      <c r="Q31" s="997"/>
      <c r="R31" s="1041"/>
      <c r="S31" s="1041"/>
      <c r="T31" s="1041"/>
      <c r="U31" s="1041"/>
      <c r="V31" s="1041"/>
      <c r="W31" s="1041"/>
      <c r="X31" s="1041"/>
      <c r="Y31" s="1041"/>
      <c r="Z31" s="1041"/>
      <c r="AA31" s="1041"/>
      <c r="AB31" s="1041"/>
      <c r="AC31" s="1041"/>
      <c r="AD31" s="1041"/>
      <c r="AE31" s="1041"/>
      <c r="AF31" s="1041"/>
      <c r="AG31" s="1041"/>
      <c r="AH31" s="1041"/>
      <c r="AI31" s="1041"/>
      <c r="AJ31" s="1041"/>
      <c r="AK31" s="1041"/>
      <c r="AL31" s="1041"/>
      <c r="AM31" s="1041"/>
      <c r="AN31" s="1041"/>
      <c r="AO31" s="1041"/>
    </row>
    <row r="32" spans="1:41" s="1042" customFormat="1">
      <c r="A32" s="1036">
        <v>13</v>
      </c>
      <c r="B32" s="1043" t="s">
        <v>51</v>
      </c>
      <c r="C32" s="1038"/>
      <c r="D32" s="1039" t="e">
        <f>SUM(D33:D37,D41,D38)</f>
        <v>#REF!</v>
      </c>
      <c r="E32" s="1040">
        <v>334602000</v>
      </c>
      <c r="F32" s="1040">
        <v>330953726</v>
      </c>
      <c r="G32" s="1040">
        <v>340934000</v>
      </c>
      <c r="H32" s="1040">
        <v>9980274</v>
      </c>
      <c r="I32" s="1040">
        <v>338673100</v>
      </c>
      <c r="J32" s="1040">
        <v>342608100</v>
      </c>
      <c r="K32" s="1040">
        <v>345580100</v>
      </c>
      <c r="L32" s="1046">
        <f t="shared" si="1"/>
        <v>101.89239753498185</v>
      </c>
      <c r="M32" s="997"/>
      <c r="N32" s="997"/>
      <c r="O32" s="997"/>
      <c r="P32" s="997"/>
      <c r="Q32" s="997"/>
      <c r="R32" s="1041"/>
      <c r="S32" s="1041"/>
      <c r="T32" s="1041"/>
      <c r="U32" s="1041"/>
      <c r="V32" s="1041"/>
      <c r="W32" s="1041"/>
      <c r="X32" s="1041"/>
      <c r="Y32" s="1041"/>
      <c r="Z32" s="1041"/>
      <c r="AA32" s="1041"/>
      <c r="AB32" s="1041"/>
      <c r="AC32" s="1041"/>
      <c r="AD32" s="1041"/>
      <c r="AE32" s="1041"/>
      <c r="AF32" s="1041"/>
      <c r="AG32" s="1041"/>
      <c r="AH32" s="1041"/>
      <c r="AI32" s="1041"/>
      <c r="AJ32" s="1041"/>
      <c r="AK32" s="1041"/>
      <c r="AL32" s="1041"/>
      <c r="AM32" s="1041"/>
      <c r="AN32" s="1041"/>
      <c r="AO32" s="1041"/>
    </row>
    <row r="33" spans="1:41" s="1042" customFormat="1">
      <c r="A33" s="1036" t="s">
        <v>52</v>
      </c>
      <c r="B33" s="1109" t="s">
        <v>340</v>
      </c>
      <c r="C33" s="1038"/>
      <c r="D33" s="1039" t="e">
        <f>SUM(#REF!)</f>
        <v>#REF!</v>
      </c>
      <c r="E33" s="1040">
        <v>52282000</v>
      </c>
      <c r="F33" s="1040">
        <v>52282000</v>
      </c>
      <c r="G33" s="1040">
        <v>62282000</v>
      </c>
      <c r="H33" s="1040">
        <v>1312000</v>
      </c>
      <c r="I33" s="1040">
        <v>63405000</v>
      </c>
      <c r="J33" s="1040">
        <v>64993000</v>
      </c>
      <c r="K33" s="1040">
        <v>66621000</v>
      </c>
      <c r="L33" s="1045">
        <f t="shared" si="1"/>
        <v>119.1270418117134</v>
      </c>
      <c r="M33" s="997"/>
      <c r="N33" s="997"/>
      <c r="O33" s="997"/>
      <c r="P33" s="997"/>
      <c r="Q33" s="997"/>
      <c r="R33" s="1041"/>
      <c r="S33" s="1041"/>
      <c r="T33" s="1041"/>
      <c r="U33" s="1041"/>
      <c r="V33" s="1041"/>
      <c r="W33" s="1041"/>
      <c r="X33" s="1041"/>
      <c r="Y33" s="1041"/>
      <c r="Z33" s="1041"/>
      <c r="AA33" s="1041"/>
      <c r="AB33" s="1041"/>
      <c r="AC33" s="1041"/>
      <c r="AD33" s="1041"/>
      <c r="AE33" s="1041"/>
      <c r="AF33" s="1041"/>
      <c r="AG33" s="1041"/>
      <c r="AH33" s="1041"/>
      <c r="AI33" s="1041"/>
      <c r="AJ33" s="1041"/>
      <c r="AK33" s="1041"/>
      <c r="AL33" s="1041"/>
      <c r="AM33" s="1041"/>
      <c r="AN33" s="1041"/>
      <c r="AO33" s="1041"/>
    </row>
    <row r="34" spans="1:41" s="1042" customFormat="1">
      <c r="A34" s="1036" t="s">
        <v>54</v>
      </c>
      <c r="B34" s="1043" t="s">
        <v>59</v>
      </c>
      <c r="C34" s="1038"/>
      <c r="D34" s="1039" t="e">
        <f>SUM(#REF!)</f>
        <v>#REF!</v>
      </c>
      <c r="E34" s="1040">
        <v>1200000</v>
      </c>
      <c r="F34" s="1040">
        <v>1220000</v>
      </c>
      <c r="G34" s="1040">
        <v>1200000</v>
      </c>
      <c r="H34" s="1040">
        <v>-20000</v>
      </c>
      <c r="I34" s="1040">
        <v>1222000</v>
      </c>
      <c r="J34" s="1040">
        <v>1253000</v>
      </c>
      <c r="K34" s="1040">
        <v>1284000</v>
      </c>
      <c r="L34" s="1046">
        <f t="shared" si="1"/>
        <v>100</v>
      </c>
      <c r="M34" s="997"/>
      <c r="N34" s="997"/>
      <c r="O34" s="997"/>
      <c r="P34" s="997"/>
      <c r="Q34" s="997"/>
      <c r="R34" s="1041"/>
      <c r="S34" s="1041"/>
      <c r="T34" s="1041"/>
      <c r="U34" s="1041"/>
      <c r="V34" s="1041"/>
      <c r="W34" s="1041"/>
      <c r="X34" s="1041"/>
      <c r="Y34" s="1041"/>
      <c r="Z34" s="1041"/>
      <c r="AA34" s="1041"/>
      <c r="AB34" s="1041"/>
      <c r="AC34" s="1041"/>
      <c r="AD34" s="1041"/>
      <c r="AE34" s="1041"/>
      <c r="AF34" s="1041"/>
      <c r="AG34" s="1041"/>
      <c r="AH34" s="1041"/>
      <c r="AI34" s="1041"/>
      <c r="AJ34" s="1041"/>
      <c r="AK34" s="1041"/>
      <c r="AL34" s="1041"/>
      <c r="AM34" s="1041"/>
      <c r="AN34" s="1041"/>
      <c r="AO34" s="1041"/>
    </row>
    <row r="35" spans="1:41" s="1042" customFormat="1">
      <c r="A35" s="1036" t="s">
        <v>56</v>
      </c>
      <c r="B35" s="1043" t="s">
        <v>55</v>
      </c>
      <c r="C35" s="1038"/>
      <c r="D35" s="1039" t="e">
        <f>SUM(D97)</f>
        <v>#REF!</v>
      </c>
      <c r="E35" s="1040">
        <v>9392000</v>
      </c>
      <c r="F35" s="1040">
        <v>11866000</v>
      </c>
      <c r="G35" s="1040">
        <v>11866000</v>
      </c>
      <c r="H35" s="1040">
        <v>434000</v>
      </c>
      <c r="I35" s="1040">
        <v>12078000</v>
      </c>
      <c r="J35" s="1040">
        <v>12384000</v>
      </c>
      <c r="K35" s="1040">
        <v>12690000</v>
      </c>
      <c r="L35" s="1045">
        <f t="shared" si="1"/>
        <v>126.34156729131176</v>
      </c>
      <c r="M35" s="997"/>
      <c r="N35" s="997"/>
      <c r="O35" s="997"/>
      <c r="P35" s="997"/>
      <c r="Q35" s="997"/>
      <c r="R35" s="1041"/>
      <c r="S35" s="1041"/>
      <c r="T35" s="1041"/>
      <c r="U35" s="1041"/>
      <c r="V35" s="1041"/>
      <c r="W35" s="1041"/>
      <c r="X35" s="1041"/>
      <c r="Y35" s="1041"/>
      <c r="Z35" s="1041"/>
      <c r="AA35" s="1041"/>
      <c r="AB35" s="1041"/>
      <c r="AC35" s="1041"/>
      <c r="AD35" s="1041"/>
      <c r="AE35" s="1041"/>
      <c r="AF35" s="1041"/>
      <c r="AG35" s="1041"/>
      <c r="AH35" s="1041"/>
      <c r="AI35" s="1041"/>
      <c r="AJ35" s="1041"/>
      <c r="AK35" s="1041"/>
      <c r="AL35" s="1041"/>
      <c r="AM35" s="1041"/>
      <c r="AN35" s="1041"/>
      <c r="AO35" s="1041"/>
    </row>
    <row r="36" spans="1:41" s="1042" customFormat="1">
      <c r="A36" s="1036" t="s">
        <v>58</v>
      </c>
      <c r="B36" s="1043" t="s">
        <v>57</v>
      </c>
      <c r="C36" s="1038"/>
      <c r="D36" s="1039" t="e">
        <f>SUM(D98)</f>
        <v>#REF!</v>
      </c>
      <c r="E36" s="1040">
        <v>1311000</v>
      </c>
      <c r="F36" s="1040">
        <v>1660000</v>
      </c>
      <c r="G36" s="1040">
        <v>1660000</v>
      </c>
      <c r="H36" s="1040">
        <v>254000</v>
      </c>
      <c r="I36" s="1040">
        <v>1691000</v>
      </c>
      <c r="J36" s="1040">
        <v>1731000</v>
      </c>
      <c r="K36" s="1040">
        <v>1772000</v>
      </c>
      <c r="L36" s="1046">
        <f t="shared" si="1"/>
        <v>126.62090007627765</v>
      </c>
      <c r="M36" s="997"/>
      <c r="N36" s="997"/>
      <c r="O36" s="997"/>
      <c r="P36" s="997"/>
      <c r="Q36" s="997"/>
      <c r="R36" s="1041"/>
      <c r="S36" s="1041"/>
      <c r="T36" s="1041"/>
      <c r="U36" s="1041"/>
      <c r="V36" s="1041"/>
      <c r="W36" s="1041"/>
      <c r="X36" s="1041"/>
      <c r="Y36" s="1041"/>
      <c r="Z36" s="1041"/>
      <c r="AA36" s="1041"/>
      <c r="AB36" s="1041"/>
      <c r="AC36" s="1041"/>
      <c r="AD36" s="1041"/>
      <c r="AE36" s="1041"/>
      <c r="AF36" s="1041"/>
      <c r="AG36" s="1041"/>
      <c r="AH36" s="1041"/>
      <c r="AI36" s="1041"/>
      <c r="AJ36" s="1041"/>
      <c r="AK36" s="1041"/>
      <c r="AL36" s="1041"/>
      <c r="AM36" s="1041"/>
      <c r="AN36" s="1041"/>
      <c r="AO36" s="1041"/>
    </row>
    <row r="37" spans="1:41" s="1042" customFormat="1">
      <c r="A37" s="1036" t="s">
        <v>60</v>
      </c>
      <c r="B37" s="1109" t="s">
        <v>667</v>
      </c>
      <c r="C37" s="1038"/>
      <c r="D37" s="1039">
        <f>D99</f>
        <v>16604000</v>
      </c>
      <c r="E37" s="1040">
        <v>46509000</v>
      </c>
      <c r="F37" s="1040">
        <v>47338000</v>
      </c>
      <c r="G37" s="1040">
        <v>47338000</v>
      </c>
      <c r="H37" s="1040">
        <v>0</v>
      </c>
      <c r="I37" s="1040">
        <v>47845000</v>
      </c>
      <c r="J37" s="1040">
        <v>48872000</v>
      </c>
      <c r="K37" s="1040">
        <v>49385000</v>
      </c>
      <c r="L37" s="1046">
        <f t="shared" si="1"/>
        <v>101.78245070846503</v>
      </c>
      <c r="M37" s="997"/>
      <c r="N37" s="997"/>
      <c r="O37" s="997"/>
      <c r="P37" s="997"/>
      <c r="Q37" s="997"/>
      <c r="R37" s="1041"/>
      <c r="S37" s="1041"/>
      <c r="T37" s="1041"/>
      <c r="U37" s="1041"/>
      <c r="V37" s="1041"/>
      <c r="W37" s="1041"/>
      <c r="X37" s="1041"/>
      <c r="Y37" s="1041"/>
      <c r="Z37" s="1041"/>
      <c r="AA37" s="1041"/>
      <c r="AB37" s="1041"/>
      <c r="AC37" s="1041"/>
      <c r="AD37" s="1041"/>
      <c r="AE37" s="1041"/>
      <c r="AF37" s="1041"/>
      <c r="AG37" s="1041"/>
      <c r="AH37" s="1041"/>
      <c r="AI37" s="1041"/>
      <c r="AJ37" s="1041"/>
      <c r="AK37" s="1041"/>
      <c r="AL37" s="1041"/>
      <c r="AM37" s="1041"/>
      <c r="AN37" s="1041"/>
      <c r="AO37" s="1041"/>
    </row>
    <row r="38" spans="1:41" s="1042" customFormat="1">
      <c r="A38" s="1036" t="s">
        <v>66</v>
      </c>
      <c r="B38" s="1109" t="s">
        <v>342</v>
      </c>
      <c r="C38" s="1038"/>
      <c r="D38" s="1039" t="e">
        <f>SUM(D100)</f>
        <v>#REF!</v>
      </c>
      <c r="E38" s="1040">
        <v>28908000</v>
      </c>
      <c r="F38" s="1040">
        <v>36588726</v>
      </c>
      <c r="G38" s="1040">
        <v>36589000</v>
      </c>
      <c r="H38" s="1040">
        <v>274</v>
      </c>
      <c r="I38" s="1040">
        <v>47433000</v>
      </c>
      <c r="J38" s="1040">
        <v>53376000</v>
      </c>
      <c r="K38" s="1040">
        <v>53829000</v>
      </c>
      <c r="L38" s="1046">
        <f t="shared" si="1"/>
        <v>126.570499515705</v>
      </c>
      <c r="M38" s="997"/>
      <c r="N38" s="997"/>
      <c r="O38" s="997"/>
      <c r="P38" s="997"/>
      <c r="Q38" s="997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041"/>
      <c r="AC38" s="1041"/>
      <c r="AD38" s="1041"/>
      <c r="AE38" s="1041"/>
      <c r="AF38" s="1041"/>
      <c r="AG38" s="1041"/>
      <c r="AH38" s="1041"/>
      <c r="AI38" s="1041"/>
      <c r="AJ38" s="1041"/>
      <c r="AK38" s="1041"/>
      <c r="AL38" s="1041"/>
      <c r="AM38" s="1041"/>
      <c r="AN38" s="1041"/>
      <c r="AO38" s="1041"/>
    </row>
    <row r="39" spans="1:41" s="1042" customFormat="1">
      <c r="A39" s="1036" t="s">
        <v>343</v>
      </c>
      <c r="B39" s="1109" t="s">
        <v>344</v>
      </c>
      <c r="C39" s="1038"/>
      <c r="D39" s="1039">
        <f>SUM(D101)</f>
        <v>20990000</v>
      </c>
      <c r="E39" s="1040">
        <v>20025000</v>
      </c>
      <c r="F39" s="1040">
        <v>25442000</v>
      </c>
      <c r="G39" s="1040">
        <v>25442000</v>
      </c>
      <c r="H39" s="1040">
        <v>0</v>
      </c>
      <c r="I39" s="1040">
        <v>36341000</v>
      </c>
      <c r="J39" s="1040">
        <v>42256000</v>
      </c>
      <c r="K39" s="1040">
        <v>42681000</v>
      </c>
      <c r="L39" s="1046">
        <f t="shared" si="1"/>
        <v>127.05118601747816</v>
      </c>
      <c r="M39" s="997"/>
      <c r="N39" s="997"/>
      <c r="O39" s="997"/>
      <c r="P39" s="997"/>
      <c r="Q39" s="997"/>
      <c r="R39" s="1041"/>
      <c r="S39" s="1041"/>
      <c r="T39" s="1041"/>
      <c r="U39" s="1041"/>
      <c r="V39" s="1041"/>
      <c r="W39" s="1041"/>
      <c r="X39" s="1041"/>
      <c r="Y39" s="1041"/>
      <c r="Z39" s="1041"/>
      <c r="AA39" s="1041"/>
      <c r="AB39" s="1041"/>
      <c r="AC39" s="1041"/>
      <c r="AD39" s="1041"/>
      <c r="AE39" s="1041"/>
      <c r="AF39" s="1041"/>
      <c r="AG39" s="1041"/>
      <c r="AH39" s="1041"/>
      <c r="AI39" s="1041"/>
      <c r="AJ39" s="1041"/>
      <c r="AK39" s="1041"/>
      <c r="AL39" s="1041"/>
      <c r="AM39" s="1041"/>
      <c r="AN39" s="1041"/>
      <c r="AO39" s="1041"/>
    </row>
    <row r="40" spans="1:41" s="1042" customFormat="1">
      <c r="A40" s="1036" t="s">
        <v>345</v>
      </c>
      <c r="B40" s="1109" t="s">
        <v>346</v>
      </c>
      <c r="C40" s="1038"/>
      <c r="D40" s="1039">
        <f>D102</f>
        <v>8883000</v>
      </c>
      <c r="E40" s="1040">
        <v>8883000</v>
      </c>
      <c r="F40" s="1040">
        <v>11146726</v>
      </c>
      <c r="G40" s="1040">
        <v>11147000</v>
      </c>
      <c r="H40" s="1040">
        <v>274</v>
      </c>
      <c r="I40" s="1040">
        <v>11092000</v>
      </c>
      <c r="J40" s="1040">
        <v>11120000</v>
      </c>
      <c r="K40" s="1040">
        <v>11148000</v>
      </c>
      <c r="L40" s="1046">
        <f t="shared" si="1"/>
        <v>125.48688506135315</v>
      </c>
      <c r="M40" s="997"/>
      <c r="N40" s="998"/>
      <c r="O40" s="997"/>
      <c r="P40" s="997"/>
      <c r="Q40" s="997"/>
      <c r="R40" s="1041"/>
      <c r="S40" s="1041"/>
      <c r="T40" s="1041"/>
      <c r="U40" s="1041"/>
      <c r="V40" s="1041"/>
      <c r="W40" s="1041"/>
      <c r="X40" s="1041"/>
      <c r="Y40" s="1041"/>
      <c r="Z40" s="1041"/>
      <c r="AA40" s="1041"/>
      <c r="AB40" s="1041"/>
      <c r="AC40" s="1041"/>
      <c r="AD40" s="1041"/>
      <c r="AE40" s="1041"/>
      <c r="AF40" s="1041"/>
      <c r="AG40" s="1041"/>
      <c r="AH40" s="1041"/>
      <c r="AI40" s="1041"/>
      <c r="AJ40" s="1041"/>
      <c r="AK40" s="1041"/>
      <c r="AL40" s="1041"/>
      <c r="AM40" s="1041"/>
      <c r="AN40" s="1041"/>
      <c r="AO40" s="1041"/>
    </row>
    <row r="41" spans="1:41" s="1042" customFormat="1">
      <c r="A41" s="1036" t="s">
        <v>347</v>
      </c>
      <c r="B41" s="1110" t="s">
        <v>647</v>
      </c>
      <c r="C41" s="1038"/>
      <c r="D41" s="1039">
        <f>SUM(D103)</f>
        <v>195000000</v>
      </c>
      <c r="E41" s="1040">
        <v>195000000</v>
      </c>
      <c r="F41" s="1040">
        <v>179999000</v>
      </c>
      <c r="G41" s="1040">
        <v>179999000</v>
      </c>
      <c r="H41" s="1040">
        <v>0</v>
      </c>
      <c r="I41" s="1040">
        <v>164999100</v>
      </c>
      <c r="J41" s="1040">
        <v>159999100</v>
      </c>
      <c r="K41" s="1040">
        <v>159999100</v>
      </c>
      <c r="L41" s="1045">
        <f t="shared" si="1"/>
        <v>92.307179487179482</v>
      </c>
      <c r="M41" s="997"/>
      <c r="N41" s="997"/>
      <c r="O41" s="997"/>
      <c r="P41" s="997"/>
      <c r="Q41" s="997"/>
      <c r="R41" s="1041"/>
      <c r="S41" s="1041"/>
      <c r="T41" s="1041"/>
      <c r="U41" s="1041"/>
      <c r="V41" s="1041"/>
      <c r="W41" s="1041"/>
      <c r="X41" s="1041"/>
      <c r="Y41" s="1041"/>
      <c r="Z41" s="1041"/>
      <c r="AA41" s="1041"/>
      <c r="AB41" s="1041"/>
      <c r="AC41" s="1041"/>
      <c r="AD41" s="1041"/>
      <c r="AE41" s="1041"/>
      <c r="AF41" s="1041"/>
      <c r="AG41" s="1041"/>
      <c r="AH41" s="1041"/>
      <c r="AI41" s="1041"/>
      <c r="AJ41" s="1041"/>
      <c r="AK41" s="1041"/>
      <c r="AL41" s="1041"/>
      <c r="AM41" s="1041"/>
      <c r="AN41" s="1041"/>
      <c r="AO41" s="1041"/>
    </row>
    <row r="42" spans="1:41" s="1042" customFormat="1">
      <c r="A42" s="1036">
        <v>14</v>
      </c>
      <c r="B42" s="1043" t="s">
        <v>69</v>
      </c>
      <c r="C42" s="1038"/>
      <c r="D42" s="1039" t="e">
        <f>SUM(D91)</f>
        <v>#REF!</v>
      </c>
      <c r="E42" s="1040">
        <v>3716000</v>
      </c>
      <c r="F42" s="1040">
        <v>3782000</v>
      </c>
      <c r="G42" s="1040">
        <v>3782000</v>
      </c>
      <c r="H42" s="1040">
        <v>0</v>
      </c>
      <c r="I42" s="1040">
        <v>3850000</v>
      </c>
      <c r="J42" s="1040">
        <v>3946000</v>
      </c>
      <c r="K42" s="1040">
        <v>4044000</v>
      </c>
      <c r="L42" s="1046">
        <f t="shared" si="1"/>
        <v>101.77610333692142</v>
      </c>
      <c r="M42" s="997"/>
      <c r="N42" s="997"/>
      <c r="O42" s="997"/>
      <c r="P42" s="997"/>
      <c r="Q42" s="997"/>
      <c r="R42" s="1041"/>
      <c r="S42" s="1041"/>
      <c r="T42" s="1041"/>
      <c r="U42" s="1041"/>
      <c r="V42" s="1041"/>
      <c r="W42" s="1041"/>
      <c r="X42" s="1041"/>
      <c r="Y42" s="1041"/>
      <c r="Z42" s="1041"/>
      <c r="AA42" s="1041"/>
      <c r="AB42" s="1041"/>
      <c r="AC42" s="1041"/>
      <c r="AD42" s="1041"/>
      <c r="AE42" s="1041"/>
      <c r="AF42" s="1041"/>
      <c r="AG42" s="1041"/>
      <c r="AH42" s="1041"/>
      <c r="AI42" s="1041"/>
      <c r="AJ42" s="1041"/>
      <c r="AK42" s="1041"/>
      <c r="AL42" s="1041"/>
      <c r="AM42" s="1041"/>
      <c r="AN42" s="1041"/>
      <c r="AO42" s="1041"/>
    </row>
    <row r="43" spans="1:41" s="1042" customFormat="1">
      <c r="A43" s="1036">
        <v>15</v>
      </c>
      <c r="B43" s="1043" t="s">
        <v>71</v>
      </c>
      <c r="C43" s="1038"/>
      <c r="D43" s="1039" t="e">
        <f>SUM(#REF!)</f>
        <v>#REF!</v>
      </c>
      <c r="E43" s="1040">
        <v>29870000</v>
      </c>
      <c r="F43" s="1040">
        <v>45900000</v>
      </c>
      <c r="G43" s="1040">
        <v>45900000</v>
      </c>
      <c r="H43" s="1040">
        <v>0</v>
      </c>
      <c r="I43" s="1040">
        <v>42020000</v>
      </c>
      <c r="J43" s="1040">
        <v>32050000</v>
      </c>
      <c r="K43" s="1040">
        <v>21670000</v>
      </c>
      <c r="L43" s="1046">
        <f t="shared" si="1"/>
        <v>153.66588550385001</v>
      </c>
      <c r="M43" s="997"/>
      <c r="N43" s="997"/>
      <c r="O43" s="997"/>
      <c r="P43" s="997"/>
      <c r="Q43" s="997"/>
      <c r="R43" s="1041"/>
      <c r="S43" s="1041"/>
      <c r="T43" s="1041"/>
      <c r="U43" s="1041"/>
      <c r="V43" s="1041"/>
      <c r="W43" s="1041"/>
      <c r="X43" s="1041"/>
      <c r="Y43" s="1041"/>
      <c r="Z43" s="1041"/>
      <c r="AA43" s="1041"/>
      <c r="AB43" s="1041"/>
      <c r="AC43" s="1041"/>
      <c r="AD43" s="1041"/>
      <c r="AE43" s="1041"/>
      <c r="AF43" s="1041"/>
      <c r="AG43" s="1041"/>
      <c r="AH43" s="1041"/>
      <c r="AI43" s="1041"/>
      <c r="AJ43" s="1041"/>
      <c r="AK43" s="1041"/>
      <c r="AL43" s="1041"/>
      <c r="AM43" s="1041"/>
      <c r="AN43" s="1041"/>
      <c r="AO43" s="1041"/>
    </row>
    <row r="44" spans="1:41" s="1042" customFormat="1">
      <c r="A44" s="1036">
        <v>16</v>
      </c>
      <c r="B44" s="1043" t="s">
        <v>73</v>
      </c>
      <c r="C44" s="1038"/>
      <c r="D44" s="1039" t="e">
        <f>SUM(D113)</f>
        <v>#REF!</v>
      </c>
      <c r="E44" s="1040">
        <v>4118496.31</v>
      </c>
      <c r="F44" s="1040">
        <v>1650000</v>
      </c>
      <c r="G44" s="1040">
        <v>1650000</v>
      </c>
      <c r="H44" s="1040">
        <v>0</v>
      </c>
      <c r="I44" s="1040">
        <v>1900000</v>
      </c>
      <c r="J44" s="1040">
        <v>1350000</v>
      </c>
      <c r="K44" s="1040">
        <v>1350000</v>
      </c>
      <c r="L44" s="1046">
        <f t="shared" si="1"/>
        <v>40.063165675144191</v>
      </c>
      <c r="M44" s="997"/>
      <c r="N44" s="997"/>
      <c r="O44" s="997"/>
      <c r="P44" s="997"/>
      <c r="Q44" s="997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1041"/>
      <c r="AC44" s="1041"/>
      <c r="AD44" s="1041"/>
      <c r="AE44" s="1041"/>
      <c r="AF44" s="1041"/>
      <c r="AG44" s="1041"/>
      <c r="AH44" s="1041"/>
      <c r="AI44" s="1041"/>
      <c r="AJ44" s="1041"/>
      <c r="AK44" s="1041"/>
      <c r="AL44" s="1041"/>
      <c r="AM44" s="1041"/>
      <c r="AN44" s="1041"/>
      <c r="AO44" s="1041"/>
    </row>
    <row r="45" spans="1:41" s="1112" customFormat="1" ht="31.2">
      <c r="A45" s="1036">
        <v>17</v>
      </c>
      <c r="B45" s="1037" t="s">
        <v>646</v>
      </c>
      <c r="C45" s="1038"/>
      <c r="D45" s="1039">
        <f>SUM(D46:D46)</f>
        <v>0</v>
      </c>
      <c r="E45" s="1040">
        <v>1650000</v>
      </c>
      <c r="F45" s="1040">
        <v>2500000</v>
      </c>
      <c r="G45" s="1040">
        <v>2500000</v>
      </c>
      <c r="H45" s="1040">
        <v>0</v>
      </c>
      <c r="I45" s="1040">
        <v>2500000</v>
      </c>
      <c r="J45" s="1040">
        <v>2500000</v>
      </c>
      <c r="K45" s="1040">
        <v>2500000</v>
      </c>
      <c r="L45" s="1045">
        <f t="shared" si="1"/>
        <v>151.5151515151515</v>
      </c>
      <c r="M45" s="999"/>
      <c r="N45" s="999"/>
      <c r="O45" s="999"/>
      <c r="P45" s="999"/>
      <c r="Q45" s="999"/>
      <c r="R45" s="1111"/>
      <c r="S45" s="1111"/>
      <c r="T45" s="1111"/>
      <c r="U45" s="1111"/>
      <c r="V45" s="1111"/>
      <c r="W45" s="1111"/>
      <c r="X45" s="1111"/>
      <c r="Y45" s="1111"/>
      <c r="Z45" s="1111"/>
      <c r="AA45" s="1111"/>
      <c r="AB45" s="1111"/>
      <c r="AC45" s="1111"/>
      <c r="AD45" s="1111"/>
      <c r="AE45" s="1111"/>
      <c r="AF45" s="1111"/>
      <c r="AG45" s="1111"/>
      <c r="AH45" s="1111"/>
      <c r="AI45" s="1111"/>
      <c r="AJ45" s="1111"/>
      <c r="AK45" s="1111"/>
      <c r="AL45" s="1111"/>
      <c r="AM45" s="1111"/>
      <c r="AN45" s="1111"/>
      <c r="AO45" s="1111"/>
    </row>
    <row r="46" spans="1:41" s="1118" customFormat="1" ht="10.8" thickBot="1">
      <c r="A46" s="1113"/>
      <c r="B46" s="2269"/>
      <c r="C46" s="2269"/>
      <c r="D46" s="1114"/>
      <c r="E46" s="1115"/>
      <c r="F46" s="1115"/>
      <c r="G46" s="1115"/>
      <c r="H46" s="1115"/>
      <c r="I46" s="1115"/>
      <c r="J46" s="1115"/>
      <c r="K46" s="1115"/>
      <c r="L46" s="1116"/>
      <c r="M46" s="1000"/>
      <c r="N46" s="1000"/>
      <c r="O46" s="1000"/>
      <c r="P46" s="1000"/>
      <c r="Q46" s="1000"/>
      <c r="R46" s="1117"/>
      <c r="S46" s="1117"/>
      <c r="T46" s="1117"/>
      <c r="U46" s="1117"/>
      <c r="V46" s="1117"/>
      <c r="W46" s="1117"/>
      <c r="X46" s="1117"/>
      <c r="Y46" s="1117"/>
      <c r="Z46" s="1117"/>
      <c r="AA46" s="1117"/>
      <c r="AB46" s="1117"/>
      <c r="AC46" s="1117"/>
      <c r="AD46" s="1117"/>
      <c r="AE46" s="1117"/>
      <c r="AF46" s="1117"/>
      <c r="AG46" s="1117"/>
      <c r="AH46" s="1117"/>
      <c r="AI46" s="1117"/>
      <c r="AJ46" s="1117"/>
      <c r="AK46" s="1117"/>
      <c r="AL46" s="1117"/>
      <c r="AM46" s="1117"/>
      <c r="AN46" s="1117"/>
      <c r="AO46" s="1117"/>
    </row>
    <row r="47" spans="1:41" s="1051" customFormat="1" ht="18">
      <c r="A47" s="1072"/>
      <c r="B47" s="1072"/>
      <c r="C47" s="1072"/>
      <c r="D47" s="1072"/>
      <c r="E47" s="1072"/>
      <c r="F47" s="1072"/>
      <c r="G47" s="1072"/>
      <c r="H47" s="1072"/>
      <c r="I47" s="1072"/>
      <c r="J47" s="1072"/>
      <c r="K47" s="1072"/>
      <c r="L47" s="991"/>
      <c r="M47" s="984"/>
      <c r="N47" s="984"/>
      <c r="O47" s="984"/>
      <c r="P47" s="984"/>
      <c r="Q47" s="984"/>
      <c r="R47" s="1053"/>
      <c r="S47" s="1053"/>
      <c r="T47" s="1053"/>
      <c r="U47" s="1053"/>
      <c r="V47" s="1053"/>
      <c r="W47" s="1053"/>
      <c r="X47" s="1053"/>
      <c r="Y47" s="1053"/>
      <c r="Z47" s="1053"/>
      <c r="AA47" s="1053"/>
      <c r="AB47" s="1053"/>
      <c r="AC47" s="1053"/>
      <c r="AD47" s="1053"/>
      <c r="AE47" s="1053"/>
      <c r="AF47" s="1053"/>
      <c r="AG47" s="1053"/>
      <c r="AH47" s="1053"/>
      <c r="AI47" s="1053"/>
      <c r="AJ47" s="1053"/>
      <c r="AK47" s="1053"/>
      <c r="AL47" s="1053"/>
      <c r="AM47" s="1053"/>
      <c r="AN47" s="1054"/>
      <c r="AO47" s="1054"/>
    </row>
    <row r="48" spans="1:41" ht="18.600000000000001" thickBot="1">
      <c r="A48" s="1071" t="s">
        <v>348</v>
      </c>
      <c r="B48" s="1070"/>
      <c r="E48" s="1119"/>
      <c r="F48" s="1119"/>
      <c r="G48" s="1119"/>
      <c r="H48" s="1119"/>
      <c r="I48" s="1119"/>
      <c r="J48" s="1119"/>
      <c r="K48" s="1119"/>
      <c r="L48" s="991"/>
      <c r="M48" s="986"/>
      <c r="N48" s="986"/>
      <c r="O48" s="986"/>
      <c r="P48" s="986"/>
      <c r="Q48" s="986"/>
    </row>
    <row r="49" spans="1:41" s="1078" customFormat="1" ht="105.75" customHeight="1" thickBot="1">
      <c r="A49" s="2239" t="s">
        <v>7</v>
      </c>
      <c r="B49" s="2238" t="s">
        <v>8</v>
      </c>
      <c r="C49" s="2239" t="s">
        <v>79</v>
      </c>
      <c r="D49" s="1074" t="str">
        <f>D14</f>
        <v>Plan
 po zmianach
2015</v>
      </c>
      <c r="E49" s="1074" t="str">
        <f>E14</f>
        <v>Przewidywane 
wykonanie 
w 2015</v>
      </c>
      <c r="F49" s="1074" t="str">
        <f t="shared" ref="F49:L49" si="2">F14</f>
        <v>Projekt planu 
na 2016 r.</v>
      </c>
      <c r="G49" s="1074" t="str">
        <f t="shared" si="2"/>
        <v>Plan wg Ustawy Budżetowej 
na 2016 r.</v>
      </c>
      <c r="H49" s="1074" t="str">
        <f t="shared" si="2"/>
        <v>różnice</v>
      </c>
      <c r="I49" s="1074" t="str">
        <f t="shared" si="2"/>
        <v xml:space="preserve">Zmiany  </v>
      </c>
      <c r="J49" s="1074" t="str">
        <f t="shared" si="2"/>
        <v xml:space="preserve">Plan 
po zmianach </v>
      </c>
      <c r="K49" s="1074" t="e">
        <f t="shared" si="2"/>
        <v>#REF!</v>
      </c>
      <c r="L49" s="1074" t="str">
        <f t="shared" si="2"/>
        <v>%</v>
      </c>
      <c r="M49" s="988"/>
      <c r="N49" s="988"/>
      <c r="O49" s="988"/>
      <c r="P49" s="988"/>
      <c r="Q49" s="988"/>
      <c r="R49" s="1076"/>
      <c r="S49" s="1076"/>
      <c r="T49" s="1076"/>
      <c r="U49" s="1076"/>
      <c r="V49" s="1076"/>
      <c r="W49" s="1076"/>
      <c r="X49" s="1076"/>
      <c r="Y49" s="1076"/>
      <c r="Z49" s="1076"/>
      <c r="AA49" s="1076"/>
      <c r="AB49" s="1076"/>
      <c r="AC49" s="1076"/>
      <c r="AD49" s="1076"/>
      <c r="AE49" s="1076"/>
      <c r="AF49" s="1076"/>
      <c r="AG49" s="1076"/>
      <c r="AH49" s="1076"/>
      <c r="AI49" s="1076"/>
      <c r="AJ49" s="1076"/>
      <c r="AK49" s="1076"/>
      <c r="AL49" s="1076"/>
      <c r="AM49" s="1076"/>
      <c r="AN49" s="1077"/>
      <c r="AO49" s="1077"/>
    </row>
    <row r="50" spans="1:41" s="1078" customFormat="1" ht="16.5" customHeight="1" thickBot="1">
      <c r="A50" s="2239"/>
      <c r="B50" s="2238"/>
      <c r="C50" s="2239"/>
      <c r="D50" s="1073"/>
      <c r="E50" s="2236" t="str">
        <f>E15</f>
        <v>w tysiącach złotych</v>
      </c>
      <c r="F50" s="2236"/>
      <c r="G50" s="2236"/>
      <c r="H50" s="2236"/>
      <c r="I50" s="2236"/>
      <c r="J50" s="2236"/>
      <c r="K50" s="2236"/>
      <c r="L50" s="991"/>
      <c r="M50" s="988"/>
      <c r="N50" s="988"/>
      <c r="O50" s="988"/>
      <c r="P50" s="988"/>
      <c r="Q50" s="988"/>
      <c r="R50" s="1076"/>
      <c r="S50" s="1076"/>
      <c r="T50" s="1076"/>
      <c r="U50" s="1076"/>
      <c r="V50" s="1076"/>
      <c r="W50" s="1076"/>
      <c r="X50" s="1076"/>
      <c r="Y50" s="1076"/>
      <c r="Z50" s="1076"/>
      <c r="AA50" s="1076"/>
      <c r="AB50" s="1076"/>
      <c r="AC50" s="1076"/>
      <c r="AD50" s="1076"/>
      <c r="AE50" s="1076"/>
      <c r="AF50" s="1076"/>
      <c r="AG50" s="1076"/>
      <c r="AH50" s="1076"/>
      <c r="AI50" s="1076"/>
      <c r="AJ50" s="1076"/>
      <c r="AK50" s="1076"/>
      <c r="AL50" s="1076"/>
      <c r="AM50" s="1076"/>
      <c r="AN50" s="1077"/>
      <c r="AO50" s="1077"/>
    </row>
    <row r="51" spans="1:41" s="1087" customFormat="1" ht="12.9" customHeight="1" thickBot="1">
      <c r="A51" s="1080">
        <v>1</v>
      </c>
      <c r="B51" s="1120">
        <v>2</v>
      </c>
      <c r="C51" s="1082">
        <v>3</v>
      </c>
      <c r="D51" s="1082"/>
      <c r="E51" s="1083">
        <v>4</v>
      </c>
      <c r="F51" s="1082"/>
      <c r="G51" s="1082" t="s">
        <v>349</v>
      </c>
      <c r="H51" s="1082"/>
      <c r="I51" s="1084">
        <v>6</v>
      </c>
      <c r="J51" s="1084">
        <v>7</v>
      </c>
      <c r="K51" s="1082" t="s">
        <v>350</v>
      </c>
      <c r="L51" s="991"/>
      <c r="M51" s="990"/>
      <c r="N51" s="990"/>
      <c r="O51" s="990"/>
      <c r="P51" s="990"/>
      <c r="Q51" s="990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5"/>
      <c r="AG51" s="1085"/>
      <c r="AH51" s="1085"/>
      <c r="AI51" s="1085"/>
      <c r="AJ51" s="1085"/>
      <c r="AK51" s="1085"/>
      <c r="AL51" s="1085"/>
      <c r="AM51" s="1085"/>
      <c r="AN51" s="1086"/>
      <c r="AO51" s="1086"/>
    </row>
    <row r="52" spans="1:41" s="1087" customFormat="1" ht="9.9" customHeight="1">
      <c r="A52" s="1088"/>
      <c r="B52" s="1121"/>
      <c r="C52" s="1090"/>
      <c r="D52" s="1090"/>
      <c r="E52" s="1122"/>
      <c r="F52" s="1091"/>
      <c r="G52" s="1091"/>
      <c r="H52" s="1091"/>
      <c r="I52" s="1091"/>
      <c r="J52" s="1091"/>
      <c r="K52" s="1091"/>
      <c r="L52" s="991"/>
      <c r="M52" s="990"/>
      <c r="N52" s="990"/>
      <c r="O52" s="990"/>
      <c r="P52" s="990"/>
      <c r="Q52" s="990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5"/>
      <c r="AG52" s="1085"/>
      <c r="AH52" s="1085"/>
      <c r="AI52" s="1085"/>
      <c r="AJ52" s="1085"/>
      <c r="AK52" s="1085"/>
      <c r="AL52" s="1085"/>
      <c r="AM52" s="1085"/>
      <c r="AN52" s="1086"/>
      <c r="AO52" s="1086"/>
    </row>
    <row r="53" spans="1:41" s="1101" customFormat="1">
      <c r="A53" s="1094" t="s">
        <v>515</v>
      </c>
      <c r="B53" s="1123" t="s">
        <v>80</v>
      </c>
      <c r="C53" s="1124" t="s">
        <v>81</v>
      </c>
      <c r="D53" s="1125">
        <f>SUM(D55:D56,D59)+SUM(D62:D67)</f>
        <v>294760000</v>
      </c>
      <c r="E53" s="1126">
        <v>376115267.03999996</v>
      </c>
      <c r="F53" s="1126">
        <v>294248396</v>
      </c>
      <c r="G53" s="1126">
        <v>294248396</v>
      </c>
      <c r="H53" s="1126">
        <v>0</v>
      </c>
      <c r="I53" s="1126">
        <v>84619002</v>
      </c>
      <c r="J53" s="1126">
        <v>26783456</v>
      </c>
      <c r="K53" s="1126">
        <v>77690992</v>
      </c>
      <c r="L53" s="1127">
        <f t="shared" ref="L53:L116" si="3">G53/E53%</f>
        <v>78.233568744952493</v>
      </c>
      <c r="M53" s="992"/>
      <c r="N53" s="992"/>
      <c r="O53" s="992"/>
      <c r="P53" s="992"/>
      <c r="Q53" s="992"/>
      <c r="R53" s="1100"/>
      <c r="S53" s="1100"/>
      <c r="T53" s="1100"/>
      <c r="U53" s="1100"/>
      <c r="V53" s="1100"/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100"/>
      <c r="AH53" s="1100"/>
      <c r="AI53" s="1100"/>
      <c r="AJ53" s="1100"/>
      <c r="AK53" s="1100"/>
      <c r="AL53" s="1100"/>
      <c r="AM53" s="1100"/>
      <c r="AN53" s="1100"/>
      <c r="AO53" s="1100"/>
    </row>
    <row r="54" spans="1:41" s="1042" customFormat="1" ht="15.75" customHeight="1">
      <c r="A54" s="1128"/>
      <c r="B54" s="1033" t="s">
        <v>295</v>
      </c>
      <c r="C54" s="1129"/>
      <c r="D54" s="1130"/>
      <c r="E54" s="1044"/>
      <c r="F54" s="1044"/>
      <c r="G54" s="1044"/>
      <c r="H54" s="1044"/>
      <c r="I54" s="1044"/>
      <c r="J54" s="1044"/>
      <c r="K54" s="1044"/>
      <c r="L54" s="1046"/>
      <c r="M54" s="994"/>
      <c r="N54" s="994"/>
      <c r="O54" s="994"/>
      <c r="P54" s="994"/>
      <c r="Q54" s="994"/>
      <c r="R54" s="1107"/>
      <c r="S54" s="1107"/>
      <c r="T54" s="1107"/>
      <c r="U54" s="1107"/>
      <c r="V54" s="1107"/>
      <c r="W54" s="1107"/>
      <c r="X54" s="1107"/>
      <c r="Y54" s="1107"/>
      <c r="Z54" s="1107"/>
      <c r="AA54" s="1107"/>
      <c r="AB54" s="1107"/>
      <c r="AC54" s="1107"/>
      <c r="AD54" s="1107"/>
      <c r="AE54" s="1107"/>
      <c r="AF54" s="1107"/>
      <c r="AG54" s="1107"/>
      <c r="AH54" s="1107"/>
      <c r="AI54" s="1107"/>
      <c r="AJ54" s="1107"/>
      <c r="AK54" s="1107"/>
      <c r="AL54" s="1107"/>
      <c r="AM54" s="1107"/>
      <c r="AN54" s="1041"/>
      <c r="AO54" s="1041"/>
    </row>
    <row r="55" spans="1:41" s="1042" customFormat="1">
      <c r="A55" s="374">
        <v>1</v>
      </c>
      <c r="B55" s="1033" t="s">
        <v>351</v>
      </c>
      <c r="C55" s="376" t="s">
        <v>81</v>
      </c>
      <c r="D55" s="377">
        <f>'Pl 2016-20 PFC'!D73</f>
        <v>301954000</v>
      </c>
      <c r="E55" s="939">
        <v>365130549.26999998</v>
      </c>
      <c r="F55" s="939">
        <v>340014874</v>
      </c>
      <c r="G55" s="939">
        <v>340014874</v>
      </c>
      <c r="H55" s="939">
        <v>0</v>
      </c>
      <c r="I55" s="939">
        <v>167124739</v>
      </c>
      <c r="J55" s="939">
        <v>145381175</v>
      </c>
      <c r="K55" s="939">
        <v>239998325</v>
      </c>
      <c r="L55" s="1047">
        <f t="shared" si="3"/>
        <v>93.121453321226241</v>
      </c>
      <c r="M55" s="994"/>
      <c r="N55" s="994"/>
      <c r="O55" s="994"/>
      <c r="P55" s="994"/>
      <c r="Q55" s="994"/>
      <c r="R55" s="1107"/>
      <c r="S55" s="1107"/>
      <c r="T55" s="1107"/>
      <c r="U55" s="1107"/>
      <c r="V55" s="1107"/>
      <c r="W55" s="1107"/>
      <c r="X55" s="1107"/>
      <c r="Y55" s="1107"/>
      <c r="Z55" s="1107"/>
      <c r="AA55" s="1107"/>
      <c r="AB55" s="1107"/>
      <c r="AC55" s="1107"/>
      <c r="AD55" s="1107"/>
      <c r="AE55" s="1107"/>
      <c r="AF55" s="1107"/>
      <c r="AG55" s="1107"/>
      <c r="AH55" s="1107"/>
      <c r="AI55" s="1107"/>
      <c r="AJ55" s="1107"/>
      <c r="AK55" s="1107"/>
      <c r="AL55" s="1107"/>
      <c r="AM55" s="1107"/>
      <c r="AN55" s="1041"/>
      <c r="AO55" s="1041"/>
    </row>
    <row r="56" spans="1:41" s="1042" customFormat="1">
      <c r="A56" s="374">
        <v>2</v>
      </c>
      <c r="B56" s="1033" t="s">
        <v>86</v>
      </c>
      <c r="C56" s="376" t="s">
        <v>81</v>
      </c>
      <c r="D56" s="377">
        <f>'Pl 2016-20 PFC'!D76</f>
        <v>837612000</v>
      </c>
      <c r="E56" s="939">
        <v>770521423.99000001</v>
      </c>
      <c r="F56" s="939">
        <v>830552939</v>
      </c>
      <c r="G56" s="939">
        <v>830552939</v>
      </c>
      <c r="H56" s="939">
        <v>0</v>
      </c>
      <c r="I56" s="939">
        <v>813040530</v>
      </c>
      <c r="J56" s="939">
        <v>802194091.78999996</v>
      </c>
      <c r="K56" s="939">
        <v>801980858</v>
      </c>
      <c r="L56" s="1047">
        <f t="shared" si="3"/>
        <v>107.79102477113979</v>
      </c>
      <c r="M56" s="994"/>
      <c r="N56" s="994"/>
      <c r="O56" s="994"/>
      <c r="P56" s="994"/>
      <c r="Q56" s="994"/>
      <c r="R56" s="1107"/>
      <c r="S56" s="1107"/>
      <c r="T56" s="1107"/>
      <c r="U56" s="1107"/>
      <c r="V56" s="1107"/>
      <c r="W56" s="1107"/>
      <c r="X56" s="1107"/>
      <c r="Y56" s="1107"/>
      <c r="Z56" s="1107"/>
      <c r="AA56" s="1107"/>
      <c r="AB56" s="1107"/>
      <c r="AC56" s="1107"/>
      <c r="AD56" s="1107"/>
      <c r="AE56" s="1107"/>
      <c r="AF56" s="1107"/>
      <c r="AG56" s="1107"/>
      <c r="AH56" s="1107"/>
      <c r="AI56" s="1107"/>
      <c r="AJ56" s="1107"/>
      <c r="AK56" s="1107"/>
      <c r="AL56" s="1107"/>
      <c r="AM56" s="1107"/>
      <c r="AN56" s="1041"/>
      <c r="AO56" s="1041"/>
    </row>
    <row r="57" spans="1:41" s="1042" customFormat="1">
      <c r="A57" s="374" t="s">
        <v>20</v>
      </c>
      <c r="B57" s="1033" t="s">
        <v>352</v>
      </c>
      <c r="C57" s="376" t="s">
        <v>81</v>
      </c>
      <c r="D57" s="377">
        <f>'Pl 2016-20 PFC'!D77</f>
        <v>610000000</v>
      </c>
      <c r="E57" s="939">
        <v>530739909.50999999</v>
      </c>
      <c r="F57" s="939">
        <v>550000000</v>
      </c>
      <c r="G57" s="939">
        <v>550000000</v>
      </c>
      <c r="H57" s="939">
        <v>0</v>
      </c>
      <c r="I57" s="939">
        <v>530000000</v>
      </c>
      <c r="J57" s="939">
        <v>530000000</v>
      </c>
      <c r="K57" s="939">
        <v>530000000</v>
      </c>
      <c r="L57" s="1047">
        <f t="shared" si="3"/>
        <v>103.62891317289136</v>
      </c>
      <c r="M57" s="994"/>
      <c r="N57" s="994"/>
      <c r="O57" s="994"/>
      <c r="P57" s="994"/>
      <c r="Q57" s="994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7"/>
      <c r="AI57" s="1107"/>
      <c r="AJ57" s="1107"/>
      <c r="AK57" s="1107"/>
      <c r="AL57" s="1107"/>
      <c r="AM57" s="1107"/>
      <c r="AN57" s="1041"/>
      <c r="AO57" s="1041"/>
    </row>
    <row r="58" spans="1:41" s="1042" customFormat="1">
      <c r="A58" s="374" t="s">
        <v>189</v>
      </c>
      <c r="B58" s="1033" t="s">
        <v>353</v>
      </c>
      <c r="C58" s="376" t="s">
        <v>81</v>
      </c>
      <c r="D58" s="377">
        <f>'Pl 2016-20 PFC'!D78</f>
        <v>5380000</v>
      </c>
      <c r="E58" s="939">
        <v>2112586.08</v>
      </c>
      <c r="F58" s="939">
        <v>3345790</v>
      </c>
      <c r="G58" s="939">
        <v>3345790</v>
      </c>
      <c r="H58" s="939">
        <v>0</v>
      </c>
      <c r="I58" s="939">
        <v>3301804</v>
      </c>
      <c r="J58" s="939">
        <v>3366365.55</v>
      </c>
      <c r="K58" s="939">
        <v>3286332</v>
      </c>
      <c r="L58" s="1047">
        <f t="shared" si="3"/>
        <v>158.37413829783446</v>
      </c>
      <c r="M58" s="994"/>
      <c r="N58" s="994"/>
      <c r="O58" s="994"/>
      <c r="P58" s="994"/>
      <c r="Q58" s="994"/>
      <c r="R58" s="1107"/>
      <c r="S58" s="1107"/>
      <c r="T58" s="1107"/>
      <c r="U58" s="1107"/>
      <c r="V58" s="1107"/>
      <c r="W58" s="1107"/>
      <c r="X58" s="1107"/>
      <c r="Y58" s="1107"/>
      <c r="Z58" s="1107"/>
      <c r="AA58" s="1107"/>
      <c r="AB58" s="1107"/>
      <c r="AC58" s="1107"/>
      <c r="AD58" s="1107"/>
      <c r="AE58" s="1107"/>
      <c r="AF58" s="1107"/>
      <c r="AG58" s="1107"/>
      <c r="AH58" s="1107"/>
      <c r="AI58" s="1107"/>
      <c r="AJ58" s="1107"/>
      <c r="AK58" s="1107"/>
      <c r="AL58" s="1107"/>
      <c r="AM58" s="1107"/>
      <c r="AN58" s="1041"/>
      <c r="AO58" s="1041"/>
    </row>
    <row r="59" spans="1:41" s="1042" customFormat="1">
      <c r="A59" s="374">
        <v>3</v>
      </c>
      <c r="B59" s="1033" t="s">
        <v>354</v>
      </c>
      <c r="C59" s="376" t="s">
        <v>81</v>
      </c>
      <c r="D59" s="377">
        <f>'Pl 2016-20 PFC'!D79</f>
        <v>-62772000</v>
      </c>
      <c r="E59" s="939">
        <v>-71810331.739999995</v>
      </c>
      <c r="F59" s="939">
        <v>-58345552</v>
      </c>
      <c r="G59" s="939">
        <v>-58345552</v>
      </c>
      <c r="H59" s="939">
        <v>0</v>
      </c>
      <c r="I59" s="939">
        <v>-55132004</v>
      </c>
      <c r="J59" s="939">
        <v>-52022120.549999997</v>
      </c>
      <c r="K59" s="939">
        <v>-51652667</v>
      </c>
      <c r="L59" s="1047">
        <f t="shared" si="3"/>
        <v>81.249522995171176</v>
      </c>
      <c r="M59" s="994"/>
      <c r="N59" s="994"/>
      <c r="O59" s="994"/>
      <c r="P59" s="994"/>
      <c r="Q59" s="994"/>
      <c r="R59" s="1107"/>
      <c r="S59" s="1107"/>
      <c r="T59" s="1107"/>
      <c r="U59" s="1107"/>
      <c r="V59" s="1107"/>
      <c r="W59" s="1107"/>
      <c r="X59" s="1107"/>
      <c r="Y59" s="1107"/>
      <c r="Z59" s="1107"/>
      <c r="AA59" s="1107"/>
      <c r="AB59" s="1107"/>
      <c r="AC59" s="1107"/>
      <c r="AD59" s="1107"/>
      <c r="AE59" s="1107"/>
      <c r="AF59" s="1107"/>
      <c r="AG59" s="1107"/>
      <c r="AH59" s="1107"/>
      <c r="AI59" s="1107"/>
      <c r="AJ59" s="1107"/>
      <c r="AK59" s="1107"/>
      <c r="AL59" s="1107"/>
      <c r="AM59" s="1107"/>
      <c r="AN59" s="1041"/>
      <c r="AO59" s="1041"/>
    </row>
    <row r="60" spans="1:41" s="1042" customFormat="1">
      <c r="A60" s="374" t="s">
        <v>355</v>
      </c>
      <c r="B60" s="1033" t="str">
        <f>+'Pl 2016-20 PFC'!B80</f>
        <v>pozostałe</v>
      </c>
      <c r="C60" s="376" t="s">
        <v>81</v>
      </c>
      <c r="D60" s="377">
        <f>'Pl 2016-20 PFC'!D80</f>
        <v>-62772000</v>
      </c>
      <c r="E60" s="939">
        <v>-71810331.739999995</v>
      </c>
      <c r="F60" s="939">
        <v>-58345552</v>
      </c>
      <c r="G60" s="939">
        <v>-58345552</v>
      </c>
      <c r="H60" s="939">
        <v>0</v>
      </c>
      <c r="I60" s="939">
        <v>-55132004</v>
      </c>
      <c r="J60" s="939">
        <v>-52022120.549999997</v>
      </c>
      <c r="K60" s="939">
        <v>-51652667</v>
      </c>
      <c r="L60" s="1047">
        <f t="shared" si="3"/>
        <v>81.249522995171176</v>
      </c>
      <c r="M60" s="994"/>
      <c r="N60" s="994"/>
      <c r="O60" s="994"/>
      <c r="P60" s="994"/>
      <c r="Q60" s="994"/>
      <c r="R60" s="1107"/>
      <c r="S60" s="1107"/>
      <c r="T60" s="1107"/>
      <c r="U60" s="1107"/>
      <c r="V60" s="1107"/>
      <c r="W60" s="1107"/>
      <c r="X60" s="1107"/>
      <c r="Y60" s="1107"/>
      <c r="Z60" s="1107"/>
      <c r="AA60" s="1107"/>
      <c r="AB60" s="1107"/>
      <c r="AC60" s="1107"/>
      <c r="AD60" s="1107"/>
      <c r="AE60" s="1107"/>
      <c r="AF60" s="1107"/>
      <c r="AG60" s="1107"/>
      <c r="AH60" s="1107"/>
      <c r="AI60" s="1107"/>
      <c r="AJ60" s="1107"/>
      <c r="AK60" s="1107"/>
      <c r="AL60" s="1107"/>
      <c r="AM60" s="1107"/>
      <c r="AN60" s="1041"/>
      <c r="AO60" s="1041"/>
    </row>
    <row r="61" spans="1:41" s="1042" customFormat="1">
      <c r="A61" s="374" t="s">
        <v>356</v>
      </c>
      <c r="B61" s="1033" t="s">
        <v>95</v>
      </c>
      <c r="C61" s="376" t="s">
        <v>81</v>
      </c>
      <c r="D61" s="377"/>
      <c r="E61" s="939"/>
      <c r="F61" s="939"/>
      <c r="G61" s="939"/>
      <c r="H61" s="939"/>
      <c r="I61" s="939"/>
      <c r="J61" s="939"/>
      <c r="K61" s="939"/>
      <c r="L61" s="1047"/>
      <c r="M61" s="994"/>
      <c r="N61" s="994"/>
      <c r="O61" s="994"/>
      <c r="P61" s="994"/>
      <c r="Q61" s="994"/>
      <c r="R61" s="1107"/>
      <c r="S61" s="1107"/>
      <c r="T61" s="1107"/>
      <c r="U61" s="1107"/>
      <c r="V61" s="1107"/>
      <c r="W61" s="1107"/>
      <c r="X61" s="1107"/>
      <c r="Y61" s="1107"/>
      <c r="Z61" s="1107"/>
      <c r="AA61" s="1107"/>
      <c r="AB61" s="1107"/>
      <c r="AC61" s="1107"/>
      <c r="AD61" s="1107"/>
      <c r="AE61" s="1107"/>
      <c r="AF61" s="1107"/>
      <c r="AG61" s="1107"/>
      <c r="AH61" s="1107"/>
      <c r="AI61" s="1107"/>
      <c r="AJ61" s="1107"/>
      <c r="AK61" s="1107"/>
      <c r="AL61" s="1107"/>
      <c r="AM61" s="1107"/>
      <c r="AN61" s="1041"/>
      <c r="AO61" s="1041"/>
    </row>
    <row r="62" spans="1:41" s="1042" customFormat="1">
      <c r="A62" s="382" t="s">
        <v>24</v>
      </c>
      <c r="B62" s="1033" t="s">
        <v>96</v>
      </c>
      <c r="C62" s="376" t="s">
        <v>81</v>
      </c>
      <c r="D62" s="377">
        <f>'Pl 2016-20 PFC'!D83</f>
        <v>9653000</v>
      </c>
      <c r="E62" s="939">
        <v>17178687.059999999</v>
      </c>
      <c r="F62" s="939">
        <v>25809042</v>
      </c>
      <c r="G62" s="939">
        <v>25809042</v>
      </c>
      <c r="H62" s="939">
        <v>0</v>
      </c>
      <c r="I62" s="939">
        <v>35906342</v>
      </c>
      <c r="J62" s="939">
        <v>29269500</v>
      </c>
      <c r="K62" s="939">
        <v>23653900</v>
      </c>
      <c r="L62" s="1047">
        <f t="shared" si="3"/>
        <v>150.23873425167338</v>
      </c>
      <c r="M62" s="994"/>
      <c r="N62" s="994"/>
      <c r="O62" s="994"/>
      <c r="P62" s="994"/>
      <c r="Q62" s="994"/>
      <c r="R62" s="1107"/>
      <c r="S62" s="1107"/>
      <c r="T62" s="1107"/>
      <c r="U62" s="1107"/>
      <c r="V62" s="1107"/>
      <c r="W62" s="1107"/>
      <c r="X62" s="1107"/>
      <c r="Y62" s="1107"/>
      <c r="Z62" s="1107"/>
      <c r="AA62" s="1107"/>
      <c r="AB62" s="1107"/>
      <c r="AC62" s="1107"/>
      <c r="AD62" s="1107"/>
      <c r="AE62" s="1107"/>
      <c r="AF62" s="1107"/>
      <c r="AG62" s="1107"/>
      <c r="AH62" s="1107"/>
      <c r="AI62" s="1107"/>
      <c r="AJ62" s="1107"/>
      <c r="AK62" s="1107"/>
      <c r="AL62" s="1107"/>
      <c r="AM62" s="1107"/>
      <c r="AN62" s="1041"/>
      <c r="AO62" s="1041"/>
    </row>
    <row r="63" spans="1:41" s="1042" customFormat="1">
      <c r="A63" s="382" t="s">
        <v>25</v>
      </c>
      <c r="B63" s="1033" t="s">
        <v>97</v>
      </c>
      <c r="C63" s="376" t="s">
        <v>81</v>
      </c>
      <c r="D63" s="377">
        <f>'Pl 2016-20 PFC'!D84</f>
        <v>9438000</v>
      </c>
      <c r="E63" s="939">
        <v>34120629.93</v>
      </c>
      <c r="F63" s="939">
        <v>45361598</v>
      </c>
      <c r="G63" s="939">
        <v>45361598</v>
      </c>
      <c r="H63" s="939">
        <v>0</v>
      </c>
      <c r="I63" s="939">
        <v>44982155</v>
      </c>
      <c r="J63" s="939">
        <v>41679621.689999998</v>
      </c>
      <c r="K63" s="939">
        <v>33019915</v>
      </c>
      <c r="L63" s="1047">
        <f t="shared" si="3"/>
        <v>132.94478470374477</v>
      </c>
      <c r="M63" s="994"/>
      <c r="N63" s="994"/>
      <c r="O63" s="994"/>
      <c r="P63" s="994"/>
      <c r="Q63" s="994"/>
      <c r="R63" s="1107"/>
      <c r="S63" s="1107"/>
      <c r="T63" s="1107"/>
      <c r="U63" s="1107"/>
      <c r="V63" s="1107"/>
      <c r="W63" s="1107"/>
      <c r="X63" s="1107"/>
      <c r="Y63" s="1107"/>
      <c r="Z63" s="1107"/>
      <c r="AA63" s="1107"/>
      <c r="AB63" s="1107"/>
      <c r="AC63" s="1107"/>
      <c r="AD63" s="1107"/>
      <c r="AE63" s="1107"/>
      <c r="AF63" s="1107"/>
      <c r="AG63" s="1107"/>
      <c r="AH63" s="1107"/>
      <c r="AI63" s="1107"/>
      <c r="AJ63" s="1107"/>
      <c r="AK63" s="1107"/>
      <c r="AL63" s="1107"/>
      <c r="AM63" s="1107"/>
      <c r="AN63" s="1041"/>
      <c r="AO63" s="1041"/>
    </row>
    <row r="64" spans="1:41" s="1042" customFormat="1">
      <c r="A64" s="382" t="s">
        <v>29</v>
      </c>
      <c r="B64" s="1033" t="s">
        <v>98</v>
      </c>
      <c r="C64" s="376" t="s">
        <v>81</v>
      </c>
      <c r="D64" s="377">
        <f>'Pl 2016-20 PFC'!D85</f>
        <v>-1500000</v>
      </c>
      <c r="E64" s="939">
        <v>-1936138.97</v>
      </c>
      <c r="F64" s="939">
        <v>-1450000</v>
      </c>
      <c r="G64" s="939">
        <v>-1450000</v>
      </c>
      <c r="H64" s="939">
        <v>0</v>
      </c>
      <c r="I64" s="939">
        <v>-1530000</v>
      </c>
      <c r="J64" s="939">
        <v>-1530000</v>
      </c>
      <c r="K64" s="939">
        <v>-1430000</v>
      </c>
      <c r="L64" s="1047">
        <f t="shared" si="3"/>
        <v>74.891318364404384</v>
      </c>
      <c r="M64" s="994"/>
      <c r="N64" s="994"/>
      <c r="O64" s="994"/>
      <c r="P64" s="994"/>
      <c r="Q64" s="994"/>
      <c r="R64" s="1107"/>
      <c r="S64" s="1107"/>
      <c r="T64" s="1107"/>
      <c r="U64" s="1107"/>
      <c r="V64" s="1107"/>
      <c r="W64" s="1107"/>
      <c r="X64" s="1107"/>
      <c r="Y64" s="1107"/>
      <c r="Z64" s="1107"/>
      <c r="AA64" s="1107"/>
      <c r="AB64" s="1107"/>
      <c r="AC64" s="1107"/>
      <c r="AD64" s="1107"/>
      <c r="AE64" s="1107"/>
      <c r="AF64" s="1107"/>
      <c r="AG64" s="1107"/>
      <c r="AH64" s="1107"/>
      <c r="AI64" s="1107"/>
      <c r="AJ64" s="1107"/>
      <c r="AK64" s="1107"/>
      <c r="AL64" s="1107"/>
      <c r="AM64" s="1107"/>
      <c r="AN64" s="1041"/>
      <c r="AO64" s="1041"/>
    </row>
    <row r="65" spans="1:41" s="1042" customFormat="1">
      <c r="A65" s="382" t="s">
        <v>31</v>
      </c>
      <c r="B65" s="1033" t="s">
        <v>99</v>
      </c>
      <c r="C65" s="376" t="s">
        <v>81</v>
      </c>
      <c r="D65" s="377">
        <f>'Pl 2016-20 PFC'!D86</f>
        <v>0</v>
      </c>
      <c r="E65" s="939"/>
      <c r="F65" s="939"/>
      <c r="G65" s="939"/>
      <c r="H65" s="939"/>
      <c r="I65" s="939"/>
      <c r="J65" s="939"/>
      <c r="K65" s="939"/>
      <c r="L65" s="1047"/>
      <c r="M65" s="994"/>
      <c r="N65" s="994"/>
      <c r="O65" s="994"/>
      <c r="P65" s="994"/>
      <c r="Q65" s="994"/>
      <c r="R65" s="1107"/>
      <c r="S65" s="1107"/>
      <c r="T65" s="1107"/>
      <c r="U65" s="1107"/>
      <c r="V65" s="1107"/>
      <c r="W65" s="1107"/>
      <c r="X65" s="1107"/>
      <c r="Y65" s="1107"/>
      <c r="Z65" s="1107"/>
      <c r="AA65" s="1107"/>
      <c r="AB65" s="1107"/>
      <c r="AC65" s="1107"/>
      <c r="AD65" s="1107"/>
      <c r="AE65" s="1107"/>
      <c r="AF65" s="1107"/>
      <c r="AG65" s="1107"/>
      <c r="AH65" s="1107"/>
      <c r="AI65" s="1107"/>
      <c r="AJ65" s="1107"/>
      <c r="AK65" s="1107"/>
      <c r="AL65" s="1107"/>
      <c r="AM65" s="1107"/>
      <c r="AN65" s="1041"/>
      <c r="AO65" s="1041"/>
    </row>
    <row r="66" spans="1:41" s="1042" customFormat="1">
      <c r="A66" s="382" t="s">
        <v>35</v>
      </c>
      <c r="B66" s="1033" t="s">
        <v>100</v>
      </c>
      <c r="C66" s="376" t="s">
        <v>81</v>
      </c>
      <c r="D66" s="377">
        <f>'Pl 2016-20 PFC'!D87</f>
        <v>-796375000</v>
      </c>
      <c r="E66" s="939">
        <v>-734877672.58000004</v>
      </c>
      <c r="F66" s="939">
        <v>-884394505</v>
      </c>
      <c r="G66" s="939">
        <v>-884394505</v>
      </c>
      <c r="H66" s="939">
        <v>0</v>
      </c>
      <c r="I66" s="939">
        <v>-915972760</v>
      </c>
      <c r="J66" s="939">
        <v>-934388811.92999995</v>
      </c>
      <c r="K66" s="939">
        <v>-964079339</v>
      </c>
      <c r="L66" s="1047">
        <f t="shared" si="3"/>
        <v>120.34581237106823</v>
      </c>
      <c r="M66" s="994"/>
      <c r="N66" s="994"/>
      <c r="O66" s="994"/>
      <c r="P66" s="994"/>
      <c r="Q66" s="994"/>
      <c r="R66" s="1107"/>
      <c r="S66" s="1107"/>
      <c r="T66" s="1107"/>
      <c r="U66" s="1107"/>
      <c r="V66" s="1107"/>
      <c r="W66" s="1107"/>
      <c r="X66" s="1107"/>
      <c r="Y66" s="1107"/>
      <c r="Z66" s="1107"/>
      <c r="AA66" s="1107"/>
      <c r="AB66" s="1107"/>
      <c r="AC66" s="1107"/>
      <c r="AD66" s="1107"/>
      <c r="AE66" s="1107"/>
      <c r="AF66" s="1107"/>
      <c r="AG66" s="1107"/>
      <c r="AH66" s="1107"/>
      <c r="AI66" s="1107"/>
      <c r="AJ66" s="1107"/>
      <c r="AK66" s="1107"/>
      <c r="AL66" s="1107"/>
      <c r="AM66" s="1107"/>
      <c r="AN66" s="1041"/>
      <c r="AO66" s="1041"/>
    </row>
    <row r="67" spans="1:41" s="1042" customFormat="1">
      <c r="A67" s="382" t="s">
        <v>38</v>
      </c>
      <c r="B67" s="1033" t="s">
        <v>101</v>
      </c>
      <c r="C67" s="376" t="s">
        <v>81</v>
      </c>
      <c r="D67" s="377">
        <f>'Pl 2016-20 PFC'!D88</f>
        <v>-3250000</v>
      </c>
      <c r="E67" s="939">
        <v>-2211879.92</v>
      </c>
      <c r="F67" s="939">
        <v>-3300000</v>
      </c>
      <c r="G67" s="939">
        <v>-3300000</v>
      </c>
      <c r="H67" s="939">
        <v>0</v>
      </c>
      <c r="I67" s="939">
        <v>-3800000</v>
      </c>
      <c r="J67" s="939">
        <v>-3800000</v>
      </c>
      <c r="K67" s="939">
        <v>-3800000</v>
      </c>
      <c r="L67" s="1047">
        <f t="shared" si="3"/>
        <v>149.1943559033711</v>
      </c>
      <c r="M67" s="994"/>
      <c r="N67" s="994"/>
      <c r="O67" s="994"/>
      <c r="P67" s="994"/>
      <c r="Q67" s="994"/>
      <c r="R67" s="1107"/>
      <c r="S67" s="1107"/>
      <c r="T67" s="1107"/>
      <c r="U67" s="1107"/>
      <c r="V67" s="1107"/>
      <c r="W67" s="1107"/>
      <c r="X67" s="1107"/>
      <c r="Y67" s="1107"/>
      <c r="Z67" s="1107"/>
      <c r="AA67" s="1107"/>
      <c r="AB67" s="1107"/>
      <c r="AC67" s="1107"/>
      <c r="AD67" s="1107"/>
      <c r="AE67" s="1107"/>
      <c r="AF67" s="1107"/>
      <c r="AG67" s="1107"/>
      <c r="AH67" s="1107"/>
      <c r="AI67" s="1107"/>
      <c r="AJ67" s="1107"/>
      <c r="AK67" s="1107"/>
      <c r="AL67" s="1107"/>
      <c r="AM67" s="1107"/>
      <c r="AN67" s="1041"/>
      <c r="AO67" s="1041"/>
    </row>
    <row r="68" spans="1:41" s="1118" customFormat="1" ht="13.8">
      <c r="A68" s="1131"/>
      <c r="B68" s="1132"/>
      <c r="C68" s="1133"/>
      <c r="D68" s="1133"/>
      <c r="E68" s="941"/>
      <c r="F68" s="941"/>
      <c r="G68" s="941"/>
      <c r="H68" s="941"/>
      <c r="I68" s="941"/>
      <c r="J68" s="941"/>
      <c r="K68" s="941"/>
      <c r="L68" s="1048"/>
      <c r="M68" s="1001"/>
      <c r="N68" s="1001"/>
      <c r="O68" s="1001"/>
      <c r="P68" s="1001"/>
      <c r="Q68" s="1001"/>
      <c r="R68" s="1134"/>
      <c r="S68" s="1134"/>
      <c r="T68" s="1134"/>
      <c r="U68" s="1134"/>
      <c r="V68" s="1134"/>
      <c r="W68" s="1134"/>
      <c r="X68" s="1134"/>
      <c r="Y68" s="1134"/>
      <c r="Z68" s="1134"/>
      <c r="AA68" s="1134"/>
      <c r="AB68" s="1134"/>
      <c r="AC68" s="1134"/>
      <c r="AD68" s="1134"/>
      <c r="AE68" s="1134"/>
      <c r="AF68" s="1134"/>
      <c r="AG68" s="1134"/>
      <c r="AH68" s="1134"/>
      <c r="AI68" s="1134"/>
      <c r="AJ68" s="1134"/>
      <c r="AK68" s="1134"/>
      <c r="AL68" s="1134"/>
      <c r="AM68" s="1134"/>
      <c r="AN68" s="1117"/>
      <c r="AO68" s="1117"/>
    </row>
    <row r="69" spans="1:41" s="1101" customFormat="1">
      <c r="A69" s="1135" t="s">
        <v>589</v>
      </c>
      <c r="B69" s="1136" t="s">
        <v>357</v>
      </c>
      <c r="C69" s="1137" t="s">
        <v>81</v>
      </c>
      <c r="D69" s="1138">
        <f>SUM(D71,D75,D76,D77,D78)</f>
        <v>4584719000</v>
      </c>
      <c r="E69" s="1139">
        <v>4640940975.9300003</v>
      </c>
      <c r="F69" s="1139">
        <v>4619643508</v>
      </c>
      <c r="G69" s="1139">
        <v>4618558106</v>
      </c>
      <c r="H69" s="1139">
        <v>-1085402</v>
      </c>
      <c r="I69" s="1139">
        <v>4725382054</v>
      </c>
      <c r="J69" s="1139">
        <v>4895688136</v>
      </c>
      <c r="K69" s="1139">
        <v>5053185141</v>
      </c>
      <c r="L69" s="1140">
        <f t="shared" si="3"/>
        <v>99.517708368925881</v>
      </c>
      <c r="M69" s="992"/>
      <c r="N69" s="992"/>
      <c r="O69" s="992"/>
      <c r="P69" s="992"/>
      <c r="Q69" s="992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1100"/>
      <c r="AL69" s="1100"/>
      <c r="AM69" s="1100"/>
      <c r="AN69" s="1100"/>
      <c r="AO69" s="1100"/>
    </row>
    <row r="70" spans="1:41" s="1118" customFormat="1" ht="9.9" customHeight="1">
      <c r="A70" s="1141"/>
      <c r="B70" s="1142"/>
      <c r="C70" s="1143"/>
      <c r="D70" s="1143"/>
      <c r="E70" s="1144"/>
      <c r="F70" s="1145"/>
      <c r="G70" s="1145"/>
      <c r="H70" s="1145"/>
      <c r="I70" s="1145"/>
      <c r="J70" s="1145"/>
      <c r="K70" s="1145"/>
      <c r="L70" s="1146"/>
      <c r="M70" s="1001"/>
      <c r="N70" s="1001"/>
      <c r="O70" s="1001"/>
      <c r="P70" s="1001"/>
      <c r="Q70" s="1001"/>
      <c r="R70" s="1134"/>
      <c r="S70" s="1134"/>
      <c r="T70" s="1134"/>
      <c r="U70" s="1134"/>
      <c r="V70" s="1134"/>
      <c r="W70" s="1134"/>
      <c r="X70" s="1134"/>
      <c r="Y70" s="1134"/>
      <c r="Z70" s="1134"/>
      <c r="AA70" s="1134"/>
      <c r="AB70" s="1134"/>
      <c r="AC70" s="1134"/>
      <c r="AD70" s="1134"/>
      <c r="AE70" s="1134"/>
      <c r="AF70" s="1134"/>
      <c r="AG70" s="1134"/>
      <c r="AH70" s="1134"/>
      <c r="AI70" s="1134"/>
      <c r="AJ70" s="1134"/>
      <c r="AK70" s="1134"/>
      <c r="AL70" s="1134"/>
      <c r="AM70" s="1134"/>
      <c r="AN70" s="1117"/>
      <c r="AO70" s="1117"/>
    </row>
    <row r="71" spans="1:41">
      <c r="A71" s="374">
        <v>1</v>
      </c>
      <c r="B71" s="1033" t="s">
        <v>358</v>
      </c>
      <c r="C71" s="376" t="s">
        <v>81</v>
      </c>
      <c r="D71" s="377">
        <f>D72</f>
        <v>745360000</v>
      </c>
      <c r="E71" s="939">
        <v>743360000</v>
      </c>
      <c r="F71" s="939">
        <v>745360000</v>
      </c>
      <c r="G71" s="939">
        <v>745360000</v>
      </c>
      <c r="H71" s="939">
        <v>0</v>
      </c>
      <c r="I71" s="939">
        <v>745360000</v>
      </c>
      <c r="J71" s="939">
        <v>745360000</v>
      </c>
      <c r="K71" s="939">
        <v>745360000</v>
      </c>
      <c r="L71" s="1047">
        <f t="shared" si="3"/>
        <v>100.26904864399484</v>
      </c>
      <c r="M71" s="986"/>
      <c r="N71" s="986"/>
      <c r="O71" s="986"/>
      <c r="P71" s="986"/>
      <c r="Q71" s="986"/>
    </row>
    <row r="72" spans="1:41">
      <c r="A72" s="374" t="s">
        <v>16</v>
      </c>
      <c r="B72" s="1033" t="s">
        <v>359</v>
      </c>
      <c r="C72" s="376" t="s">
        <v>108</v>
      </c>
      <c r="D72" s="377">
        <f>'Pl 2016-20 PFC'!D94+'Pl 2016-20 PFC'!D95</f>
        <v>745360000</v>
      </c>
      <c r="E72" s="939">
        <v>743360000</v>
      </c>
      <c r="F72" s="939">
        <v>745360000</v>
      </c>
      <c r="G72" s="939">
        <v>745360000</v>
      </c>
      <c r="H72" s="939">
        <v>0</v>
      </c>
      <c r="I72" s="939">
        <v>745360000</v>
      </c>
      <c r="J72" s="939">
        <v>745360000</v>
      </c>
      <c r="K72" s="939">
        <v>745360000</v>
      </c>
      <c r="L72" s="1047">
        <f t="shared" si="3"/>
        <v>100.26904864399484</v>
      </c>
      <c r="M72" s="986"/>
      <c r="N72" s="986"/>
      <c r="O72" s="986"/>
      <c r="P72" s="986"/>
      <c r="Q72" s="986"/>
    </row>
    <row r="73" spans="1:41" ht="49.5" customHeight="1">
      <c r="A73" s="374" t="s">
        <v>144</v>
      </c>
      <c r="B73" s="1147" t="s">
        <v>660</v>
      </c>
      <c r="C73" s="1148" t="s">
        <v>108</v>
      </c>
      <c r="D73" s="1149">
        <f>'Pl 2016-20 PFC'!D94</f>
        <v>30000000</v>
      </c>
      <c r="E73" s="1150">
        <v>28000000</v>
      </c>
      <c r="F73" s="1150">
        <v>28500000</v>
      </c>
      <c r="G73" s="1150">
        <v>28500000</v>
      </c>
      <c r="H73" s="1150">
        <v>0</v>
      </c>
      <c r="I73" s="1150">
        <v>29000000</v>
      </c>
      <c r="J73" s="1150">
        <v>29500000</v>
      </c>
      <c r="K73" s="1150">
        <v>30000000</v>
      </c>
      <c r="L73" s="1151">
        <f t="shared" si="3"/>
        <v>101.78571428571429</v>
      </c>
      <c r="M73" s="986"/>
      <c r="N73" s="986"/>
      <c r="O73" s="986"/>
      <c r="P73" s="986"/>
      <c r="Q73" s="986"/>
    </row>
    <row r="74" spans="1:41">
      <c r="A74" s="374" t="s">
        <v>147</v>
      </c>
      <c r="B74" s="1033" t="s">
        <v>661</v>
      </c>
      <c r="C74" s="376" t="s">
        <v>108</v>
      </c>
      <c r="D74" s="377">
        <f>'Pl 2016-20 PFC'!D95</f>
        <v>715360000</v>
      </c>
      <c r="E74" s="939">
        <v>715360000</v>
      </c>
      <c r="F74" s="939">
        <v>716860000</v>
      </c>
      <c r="G74" s="939">
        <v>716860000</v>
      </c>
      <c r="H74" s="939">
        <v>0</v>
      </c>
      <c r="I74" s="939">
        <v>716360000</v>
      </c>
      <c r="J74" s="939">
        <v>715860000</v>
      </c>
      <c r="K74" s="939">
        <v>715360000</v>
      </c>
      <c r="L74" s="1047">
        <f t="shared" si="3"/>
        <v>100.20968463430999</v>
      </c>
      <c r="M74" s="986"/>
      <c r="N74" s="986"/>
      <c r="O74" s="986"/>
      <c r="P74" s="986"/>
      <c r="Q74" s="986"/>
    </row>
    <row r="75" spans="1:41">
      <c r="A75" s="374">
        <v>2</v>
      </c>
      <c r="B75" s="1033" t="s">
        <v>111</v>
      </c>
      <c r="C75" s="376" t="s">
        <v>107</v>
      </c>
      <c r="D75" s="377">
        <f>'Pl 2016-20 PFC'!D97</f>
        <v>46900000</v>
      </c>
      <c r="E75" s="939">
        <v>46900000</v>
      </c>
      <c r="F75" s="939">
        <v>14167000</v>
      </c>
      <c r="G75" s="939">
        <v>0</v>
      </c>
      <c r="H75" s="939">
        <v>-14167000</v>
      </c>
      <c r="I75" s="939">
        <v>0</v>
      </c>
      <c r="J75" s="939">
        <v>0</v>
      </c>
      <c r="K75" s="939">
        <v>0</v>
      </c>
      <c r="L75" s="1047">
        <f t="shared" si="3"/>
        <v>0</v>
      </c>
      <c r="M75" s="986"/>
      <c r="N75" s="986"/>
      <c r="O75" s="986"/>
      <c r="P75" s="986"/>
      <c r="Q75" s="986"/>
    </row>
    <row r="76" spans="1:41">
      <c r="A76" s="374">
        <v>3</v>
      </c>
      <c r="B76" s="1033" t="s">
        <v>361</v>
      </c>
      <c r="C76" s="376" t="s">
        <v>113</v>
      </c>
      <c r="D76" s="377">
        <f>'Pl 2016-20 PFC'!D99</f>
        <v>3622369000</v>
      </c>
      <c r="E76" s="939">
        <v>3620789367</v>
      </c>
      <c r="F76" s="939">
        <v>3648380374</v>
      </c>
      <c r="G76" s="939">
        <v>3648380374</v>
      </c>
      <c r="H76" s="939">
        <v>0</v>
      </c>
      <c r="I76" s="939">
        <v>3785138406</v>
      </c>
      <c r="J76" s="939">
        <v>3961484288</v>
      </c>
      <c r="K76" s="939">
        <v>4119835693</v>
      </c>
      <c r="L76" s="1047">
        <f t="shared" si="3"/>
        <v>100.76201635067385</v>
      </c>
      <c r="M76" s="986"/>
      <c r="N76" s="986"/>
      <c r="O76" s="986"/>
      <c r="P76" s="986"/>
      <c r="Q76" s="986"/>
    </row>
    <row r="77" spans="1:41">
      <c r="A77" s="374">
        <v>4</v>
      </c>
      <c r="B77" s="1033" t="s">
        <v>362</v>
      </c>
      <c r="C77" s="376" t="s">
        <v>115</v>
      </c>
      <c r="D77" s="377">
        <f>'Pl 2016-20 PFC'!D101</f>
        <v>1331000</v>
      </c>
      <c r="E77" s="939">
        <v>2103794.75</v>
      </c>
      <c r="F77" s="939">
        <v>2155000</v>
      </c>
      <c r="G77" s="939">
        <v>2155000</v>
      </c>
      <c r="H77" s="939">
        <v>0</v>
      </c>
      <c r="I77" s="939">
        <v>2155000</v>
      </c>
      <c r="J77" s="939">
        <v>2155000</v>
      </c>
      <c r="K77" s="939">
        <v>2155000</v>
      </c>
      <c r="L77" s="1047">
        <f t="shared" si="3"/>
        <v>102.43394703784674</v>
      </c>
      <c r="M77" s="986"/>
      <c r="N77" s="986"/>
      <c r="O77" s="986"/>
      <c r="P77" s="986"/>
      <c r="Q77" s="986"/>
    </row>
    <row r="78" spans="1:41">
      <c r="A78" s="374">
        <v>5</v>
      </c>
      <c r="B78" s="1033" t="s">
        <v>363</v>
      </c>
      <c r="C78" s="376" t="s">
        <v>81</v>
      </c>
      <c r="D78" s="377">
        <f>'Pl 2016-20 PFC'!D103</f>
        <v>168759000</v>
      </c>
      <c r="E78" s="939">
        <v>227787814.17999998</v>
      </c>
      <c r="F78" s="939">
        <v>209581134</v>
      </c>
      <c r="G78" s="939">
        <v>222662732</v>
      </c>
      <c r="H78" s="939">
        <v>13081598</v>
      </c>
      <c r="I78" s="939">
        <v>192728648</v>
      </c>
      <c r="J78" s="939">
        <v>186688848</v>
      </c>
      <c r="K78" s="939">
        <v>185834448</v>
      </c>
      <c r="L78" s="1047">
        <f t="shared" si="3"/>
        <v>97.750063058267855</v>
      </c>
      <c r="M78" s="986"/>
      <c r="N78" s="986"/>
      <c r="O78" s="986"/>
      <c r="P78" s="986"/>
      <c r="Q78" s="986"/>
    </row>
    <row r="79" spans="1:41" s="1153" customFormat="1">
      <c r="A79" s="374" t="s">
        <v>27</v>
      </c>
      <c r="B79" s="1033" t="s">
        <v>364</v>
      </c>
      <c r="C79" s="376" t="s">
        <v>127</v>
      </c>
      <c r="D79" s="377">
        <f>'Pl 2016-20 PFC'!D109</f>
        <v>16785000</v>
      </c>
      <c r="E79" s="939">
        <v>62781460</v>
      </c>
      <c r="F79" s="939">
        <v>49198250</v>
      </c>
      <c r="G79" s="939">
        <v>52279848</v>
      </c>
      <c r="H79" s="939">
        <v>3081598</v>
      </c>
      <c r="I79" s="939">
        <v>50531998</v>
      </c>
      <c r="J79" s="939">
        <v>50334448</v>
      </c>
      <c r="K79" s="939">
        <v>50213898</v>
      </c>
      <c r="L79" s="1047">
        <f t="shared" si="3"/>
        <v>83.272749630225235</v>
      </c>
      <c r="M79" s="1002"/>
      <c r="N79" s="1002"/>
      <c r="O79" s="1002"/>
      <c r="P79" s="1002"/>
      <c r="Q79" s="1002"/>
      <c r="R79" s="1152"/>
      <c r="S79" s="1152"/>
      <c r="T79" s="1152"/>
      <c r="U79" s="1152"/>
      <c r="V79" s="1152"/>
      <c r="W79" s="1152"/>
      <c r="X79" s="1152"/>
      <c r="Y79" s="1152"/>
      <c r="Z79" s="1152"/>
      <c r="AA79" s="1152"/>
      <c r="AB79" s="1152"/>
      <c r="AC79" s="1152"/>
      <c r="AD79" s="1152"/>
      <c r="AE79" s="1152"/>
      <c r="AF79" s="1152"/>
      <c r="AG79" s="1152"/>
      <c r="AH79" s="1152"/>
      <c r="AI79" s="1152"/>
      <c r="AJ79" s="1152"/>
      <c r="AK79" s="1152"/>
      <c r="AL79" s="1152"/>
      <c r="AM79" s="1152"/>
    </row>
    <row r="80" spans="1:41" s="1117" customFormat="1" ht="10.199999999999999">
      <c r="A80" s="1154"/>
      <c r="B80" s="1155"/>
      <c r="C80" s="1133"/>
      <c r="D80" s="1133"/>
      <c r="E80" s="941"/>
      <c r="F80" s="941"/>
      <c r="G80" s="941"/>
      <c r="H80" s="941"/>
      <c r="I80" s="941"/>
      <c r="J80" s="941"/>
      <c r="K80" s="941"/>
      <c r="L80" s="1048"/>
      <c r="M80" s="1001"/>
      <c r="N80" s="1001"/>
      <c r="O80" s="1001"/>
      <c r="P80" s="1001"/>
      <c r="Q80" s="1001"/>
      <c r="R80" s="1134"/>
      <c r="S80" s="1134"/>
      <c r="T80" s="1134"/>
      <c r="U80" s="1134"/>
      <c r="V80" s="1134"/>
      <c r="W80" s="1134"/>
      <c r="X80" s="1134"/>
      <c r="Y80" s="1134"/>
      <c r="Z80" s="1134"/>
      <c r="AA80" s="1134"/>
      <c r="AB80" s="1134"/>
      <c r="AC80" s="1134"/>
      <c r="AD80" s="1134"/>
      <c r="AE80" s="1134"/>
      <c r="AF80" s="1134"/>
      <c r="AG80" s="1134"/>
      <c r="AH80" s="1134"/>
      <c r="AI80" s="1134"/>
      <c r="AJ80" s="1134"/>
      <c r="AK80" s="1134"/>
      <c r="AL80" s="1134"/>
      <c r="AM80" s="1134"/>
    </row>
    <row r="81" spans="1:41" s="1101" customFormat="1" ht="15" customHeight="1">
      <c r="A81" s="1135" t="s">
        <v>643</v>
      </c>
      <c r="B81" s="1156" t="s">
        <v>366</v>
      </c>
      <c r="C81" s="1157" t="s">
        <v>81</v>
      </c>
      <c r="D81" s="1158" t="e">
        <f>SUM(D83,D89,D92,D93,D104,D108,D113)</f>
        <v>#REF!</v>
      </c>
      <c r="E81" s="1159">
        <f>'Pl 2014-17 PFC MF'!E112</f>
        <v>4723723000</v>
      </c>
      <c r="F81" s="1160"/>
      <c r="G81" s="1160">
        <f>'Pl 2014-17 PFC MF'!G112</f>
        <v>4842786000</v>
      </c>
      <c r="H81" s="1160"/>
      <c r="I81" s="1160">
        <f>'Pl 2014-17 PFC MF'!I112</f>
        <v>0</v>
      </c>
      <c r="J81" s="1160">
        <f>'Pl 2014-17 PFC MF'!J112</f>
        <v>4842786000</v>
      </c>
      <c r="K81" s="1160" t="e">
        <f>'Pl 2014-17 PFC MF'!K112</f>
        <v>#REF!</v>
      </c>
      <c r="L81" s="1161">
        <f t="shared" si="3"/>
        <v>102.52053306258644</v>
      </c>
      <c r="M81" s="992"/>
      <c r="N81" s="992"/>
      <c r="O81" s="992"/>
      <c r="P81" s="992"/>
      <c r="Q81" s="992"/>
      <c r="R81" s="1100"/>
      <c r="S81" s="1100"/>
      <c r="T81" s="1100"/>
      <c r="U81" s="1100"/>
      <c r="V81" s="1100"/>
      <c r="W81" s="1100"/>
      <c r="X81" s="1100"/>
      <c r="Y81" s="1100"/>
      <c r="Z81" s="1100"/>
      <c r="AA81" s="1100"/>
      <c r="AB81" s="1100"/>
      <c r="AC81" s="1100"/>
      <c r="AD81" s="1100"/>
      <c r="AE81" s="1100"/>
      <c r="AF81" s="1100"/>
      <c r="AG81" s="1100"/>
      <c r="AH81" s="1100"/>
      <c r="AI81" s="1100"/>
      <c r="AJ81" s="1100"/>
      <c r="AK81" s="1100"/>
      <c r="AL81" s="1100"/>
      <c r="AM81" s="1100"/>
      <c r="AN81" s="1100"/>
      <c r="AO81" s="1100"/>
    </row>
    <row r="82" spans="1:41" s="1118" customFormat="1" ht="12.75" customHeight="1">
      <c r="A82" s="1141"/>
      <c r="B82" s="1162"/>
      <c r="C82" s="1163"/>
      <c r="D82" s="1164"/>
      <c r="E82" s="1165"/>
      <c r="F82" s="1165"/>
      <c r="G82" s="1165"/>
      <c r="H82" s="1165"/>
      <c r="I82" s="1165"/>
      <c r="J82" s="1165"/>
      <c r="K82" s="1165"/>
      <c r="L82" s="1166"/>
      <c r="M82" s="1001"/>
      <c r="N82" s="1001"/>
      <c r="O82" s="1001"/>
      <c r="P82" s="1001"/>
      <c r="Q82" s="1001"/>
      <c r="R82" s="1134"/>
      <c r="S82" s="1134"/>
      <c r="T82" s="1134"/>
      <c r="U82" s="1134"/>
      <c r="V82" s="1134"/>
      <c r="W82" s="1134"/>
      <c r="X82" s="1134"/>
      <c r="Y82" s="1134"/>
      <c r="Z82" s="1134"/>
      <c r="AA82" s="1134"/>
      <c r="AB82" s="1134"/>
      <c r="AC82" s="1134"/>
      <c r="AD82" s="1134"/>
      <c r="AE82" s="1134"/>
      <c r="AF82" s="1134"/>
      <c r="AG82" s="1134"/>
      <c r="AH82" s="1134"/>
      <c r="AI82" s="1134"/>
      <c r="AJ82" s="1134"/>
      <c r="AK82" s="1134"/>
      <c r="AL82" s="1134"/>
      <c r="AM82" s="1134"/>
      <c r="AN82" s="1117"/>
      <c r="AO82" s="1117"/>
    </row>
    <row r="83" spans="1:41">
      <c r="A83" s="374">
        <v>1</v>
      </c>
      <c r="B83" s="1033" t="s">
        <v>142</v>
      </c>
      <c r="C83" s="376" t="s">
        <v>81</v>
      </c>
      <c r="D83" s="377" t="e">
        <f>SUM(D84,D87)</f>
        <v>#REF!</v>
      </c>
      <c r="E83" s="939">
        <v>3407668793.5300002</v>
      </c>
      <c r="F83" s="939">
        <v>3577080000</v>
      </c>
      <c r="G83" s="939">
        <v>3452643000</v>
      </c>
      <c r="H83" s="939">
        <v>-124437000</v>
      </c>
      <c r="I83" s="939">
        <v>3459616000</v>
      </c>
      <c r="J83" s="939">
        <v>3472698000</v>
      </c>
      <c r="K83" s="939">
        <v>3480125000</v>
      </c>
      <c r="L83" s="1047">
        <f t="shared" si="3"/>
        <v>101.31979394697603</v>
      </c>
      <c r="M83" s="986"/>
      <c r="N83" s="986"/>
      <c r="O83" s="986"/>
      <c r="P83" s="986"/>
      <c r="Q83" s="986"/>
    </row>
    <row r="84" spans="1:41" s="1042" customFormat="1">
      <c r="A84" s="374" t="s">
        <v>16</v>
      </c>
      <c r="B84" s="1033" t="s">
        <v>367</v>
      </c>
      <c r="C84" s="376" t="s">
        <v>81</v>
      </c>
      <c r="D84" s="377" t="e">
        <f>SUM(D85:D86)</f>
        <v>#REF!</v>
      </c>
      <c r="E84" s="939">
        <v>144535793.53</v>
      </c>
      <c r="F84" s="939">
        <v>159140000</v>
      </c>
      <c r="G84" s="939">
        <v>146640000</v>
      </c>
      <c r="H84" s="939">
        <v>-12500000</v>
      </c>
      <c r="I84" s="939">
        <v>141220000</v>
      </c>
      <c r="J84" s="939">
        <v>148220000</v>
      </c>
      <c r="K84" s="939">
        <v>149220000</v>
      </c>
      <c r="L84" s="1047">
        <f t="shared" si="3"/>
        <v>101.45583762928817</v>
      </c>
      <c r="M84" s="994"/>
      <c r="N84" s="994"/>
      <c r="O84" s="994"/>
      <c r="P84" s="994"/>
      <c r="Q84" s="994"/>
      <c r="R84" s="1107"/>
      <c r="S84" s="1107"/>
      <c r="T84" s="1107"/>
      <c r="U84" s="1107"/>
      <c r="V84" s="1107"/>
      <c r="W84" s="1107"/>
      <c r="X84" s="1107"/>
      <c r="Y84" s="1107"/>
      <c r="Z84" s="1107"/>
      <c r="AA84" s="1107"/>
      <c r="AB84" s="1107"/>
      <c r="AC84" s="1107"/>
      <c r="AD84" s="1107"/>
      <c r="AE84" s="1107"/>
      <c r="AF84" s="1107"/>
      <c r="AG84" s="1107"/>
      <c r="AH84" s="1107"/>
      <c r="AI84" s="1107"/>
      <c r="AJ84" s="1107"/>
      <c r="AK84" s="1107"/>
      <c r="AL84" s="1107"/>
      <c r="AM84" s="1107"/>
      <c r="AN84" s="1041"/>
      <c r="AO84" s="1041"/>
    </row>
    <row r="85" spans="1:41" s="1042" customFormat="1">
      <c r="A85" s="374" t="s">
        <v>144</v>
      </c>
      <c r="B85" s="1033" t="s">
        <v>368</v>
      </c>
      <c r="C85" s="376" t="s">
        <v>146</v>
      </c>
      <c r="D85" s="377" t="e">
        <f>SUM(#REF!)</f>
        <v>#REF!</v>
      </c>
      <c r="E85" s="939">
        <v>139544572.19</v>
      </c>
      <c r="F85" s="939">
        <v>159140000</v>
      </c>
      <c r="G85" s="939">
        <v>146640000</v>
      </c>
      <c r="H85" s="939">
        <v>-12500000</v>
      </c>
      <c r="I85" s="939">
        <v>141220000</v>
      </c>
      <c r="J85" s="939">
        <v>148220000</v>
      </c>
      <c r="K85" s="939">
        <v>149220000</v>
      </c>
      <c r="L85" s="1047">
        <f t="shared" si="3"/>
        <v>105.08470354571661</v>
      </c>
      <c r="M85" s="995"/>
      <c r="N85" s="994"/>
      <c r="O85" s="994"/>
      <c r="P85" s="994"/>
      <c r="Q85" s="994"/>
      <c r="R85" s="1107"/>
      <c r="S85" s="1107"/>
      <c r="T85" s="1107"/>
      <c r="U85" s="1107"/>
      <c r="V85" s="1107"/>
      <c r="W85" s="1107"/>
      <c r="X85" s="1107"/>
      <c r="Y85" s="1107"/>
      <c r="Z85" s="1107"/>
      <c r="AA85" s="1107"/>
      <c r="AB85" s="1107"/>
      <c r="AC85" s="1107"/>
      <c r="AD85" s="1107"/>
      <c r="AE85" s="1107"/>
      <c r="AF85" s="1107"/>
      <c r="AG85" s="1107"/>
      <c r="AH85" s="1107"/>
      <c r="AI85" s="1107"/>
      <c r="AJ85" s="1107"/>
      <c r="AK85" s="1107"/>
      <c r="AL85" s="1107"/>
      <c r="AM85" s="1107"/>
      <c r="AN85" s="1041"/>
      <c r="AO85" s="1041"/>
    </row>
    <row r="86" spans="1:41" s="1042" customFormat="1">
      <c r="A86" s="374" t="s">
        <v>147</v>
      </c>
      <c r="B86" s="1033" t="s">
        <v>369</v>
      </c>
      <c r="C86" s="376" t="s">
        <v>149</v>
      </c>
      <c r="D86" s="377" t="e">
        <f>SUM(#REF!)</f>
        <v>#REF!</v>
      </c>
      <c r="E86" s="939">
        <v>4991221.34</v>
      </c>
      <c r="F86" s="939">
        <v>0</v>
      </c>
      <c r="G86" s="939">
        <v>0</v>
      </c>
      <c r="H86" s="939">
        <v>0</v>
      </c>
      <c r="I86" s="939">
        <v>0</v>
      </c>
      <c r="J86" s="939">
        <v>0</v>
      </c>
      <c r="K86" s="939">
        <v>0</v>
      </c>
      <c r="L86" s="1047">
        <f t="shared" si="3"/>
        <v>0</v>
      </c>
      <c r="M86" s="994"/>
      <c r="N86" s="994"/>
      <c r="O86" s="994"/>
      <c r="P86" s="994"/>
      <c r="Q86" s="994"/>
      <c r="R86" s="1107"/>
      <c r="S86" s="1107"/>
      <c r="T86" s="1107"/>
      <c r="U86" s="1107"/>
      <c r="V86" s="1107"/>
      <c r="W86" s="1107"/>
      <c r="X86" s="1107"/>
      <c r="Y86" s="1107"/>
      <c r="Z86" s="1107"/>
      <c r="AA86" s="1107"/>
      <c r="AB86" s="1107"/>
      <c r="AC86" s="1107"/>
      <c r="AD86" s="1107"/>
      <c r="AE86" s="1107"/>
      <c r="AF86" s="1107"/>
      <c r="AG86" s="1107"/>
      <c r="AH86" s="1107"/>
      <c r="AI86" s="1107"/>
      <c r="AJ86" s="1107"/>
      <c r="AK86" s="1107"/>
      <c r="AL86" s="1107"/>
      <c r="AM86" s="1107"/>
      <c r="AN86" s="1041"/>
      <c r="AO86" s="1041"/>
    </row>
    <row r="87" spans="1:41" s="1042" customFormat="1">
      <c r="A87" s="374" t="s">
        <v>17</v>
      </c>
      <c r="B87" s="1033" t="s">
        <v>379</v>
      </c>
      <c r="C87" s="376" t="s">
        <v>81</v>
      </c>
      <c r="D87" s="377" t="e">
        <f>SUM(D88:D88)</f>
        <v>#REF!</v>
      </c>
      <c r="E87" s="939">
        <v>3263133000</v>
      </c>
      <c r="F87" s="939">
        <v>3417940000</v>
      </c>
      <c r="G87" s="939">
        <v>3306003000</v>
      </c>
      <c r="H87" s="939">
        <v>-111937000</v>
      </c>
      <c r="I87" s="939">
        <v>3318396000</v>
      </c>
      <c r="J87" s="939">
        <v>3324478000</v>
      </c>
      <c r="K87" s="939">
        <v>3330905000</v>
      </c>
      <c r="L87" s="1047">
        <f t="shared" si="3"/>
        <v>101.31376808729524</v>
      </c>
      <c r="M87" s="994"/>
      <c r="N87" s="994"/>
      <c r="O87" s="994"/>
      <c r="P87" s="994"/>
      <c r="Q87" s="994"/>
      <c r="R87" s="1107"/>
      <c r="S87" s="1107"/>
      <c r="T87" s="1107"/>
      <c r="U87" s="1107"/>
      <c r="V87" s="1107"/>
      <c r="W87" s="1107"/>
      <c r="X87" s="1107"/>
      <c r="Y87" s="1107"/>
      <c r="Z87" s="1107"/>
      <c r="AA87" s="1107"/>
      <c r="AB87" s="1107"/>
      <c r="AC87" s="1107"/>
      <c r="AD87" s="1107"/>
      <c r="AE87" s="1107"/>
      <c r="AF87" s="1107"/>
      <c r="AG87" s="1107"/>
      <c r="AH87" s="1107"/>
      <c r="AI87" s="1107"/>
      <c r="AJ87" s="1107"/>
      <c r="AK87" s="1107"/>
      <c r="AL87" s="1107"/>
      <c r="AM87" s="1107"/>
      <c r="AN87" s="1041"/>
      <c r="AO87" s="1041"/>
    </row>
    <row r="88" spans="1:41" s="1041" customFormat="1">
      <c r="A88" s="374" t="s">
        <v>170</v>
      </c>
      <c r="B88" s="1033" t="s">
        <v>368</v>
      </c>
      <c r="C88" s="376" t="s">
        <v>171</v>
      </c>
      <c r="D88" s="377" t="e">
        <f>SUM(#REF!,#REF!,#REF!,#REF!,#REF!,#REF!,#REF!,#REF!,#REF!)</f>
        <v>#REF!</v>
      </c>
      <c r="E88" s="939">
        <v>3263133000</v>
      </c>
      <c r="F88" s="939">
        <v>3417940000</v>
      </c>
      <c r="G88" s="939">
        <v>3306003000</v>
      </c>
      <c r="H88" s="939">
        <v>-111937000</v>
      </c>
      <c r="I88" s="939">
        <v>3318396000</v>
      </c>
      <c r="J88" s="939">
        <v>3324478000</v>
      </c>
      <c r="K88" s="939">
        <v>3330905000</v>
      </c>
      <c r="L88" s="1047">
        <f t="shared" si="3"/>
        <v>101.31376808729524</v>
      </c>
      <c r="M88" s="994"/>
      <c r="N88" s="994"/>
      <c r="O88" s="994"/>
      <c r="P88" s="994"/>
      <c r="Q88" s="994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7"/>
      <c r="AK88" s="1107"/>
      <c r="AL88" s="1107"/>
      <c r="AM88" s="1107"/>
    </row>
    <row r="89" spans="1:41" s="1100" customFormat="1">
      <c r="A89" s="374">
        <v>2</v>
      </c>
      <c r="B89" s="1033" t="s">
        <v>388</v>
      </c>
      <c r="C89" s="376" t="s">
        <v>81</v>
      </c>
      <c r="D89" s="377" t="e">
        <f>D90+D91</f>
        <v>#REF!</v>
      </c>
      <c r="E89" s="939">
        <v>5366000</v>
      </c>
      <c r="F89" s="939">
        <v>6282000</v>
      </c>
      <c r="G89" s="939">
        <v>6282000</v>
      </c>
      <c r="H89" s="939">
        <v>0</v>
      </c>
      <c r="I89" s="939">
        <v>6350000</v>
      </c>
      <c r="J89" s="939">
        <v>6446000</v>
      </c>
      <c r="K89" s="939">
        <v>6544000</v>
      </c>
      <c r="L89" s="1047">
        <f t="shared" si="3"/>
        <v>117.07044353335819</v>
      </c>
      <c r="M89" s="986"/>
      <c r="N89" s="986"/>
      <c r="O89" s="986"/>
      <c r="P89" s="986"/>
      <c r="Q89" s="986"/>
      <c r="R89" s="1058"/>
      <c r="S89" s="1058"/>
      <c r="T89" s="1058"/>
      <c r="U89" s="1058"/>
      <c r="V89" s="1058"/>
      <c r="W89" s="1058"/>
      <c r="X89" s="1058"/>
      <c r="Y89" s="1058"/>
      <c r="Z89" s="1058"/>
      <c r="AA89" s="1058"/>
      <c r="AB89" s="1058"/>
      <c r="AC89" s="1058"/>
      <c r="AD89" s="1058"/>
      <c r="AE89" s="1058"/>
      <c r="AF89" s="1058"/>
      <c r="AG89" s="1058"/>
      <c r="AH89" s="1058"/>
      <c r="AI89" s="1058"/>
      <c r="AJ89" s="1058"/>
      <c r="AK89" s="1058"/>
      <c r="AL89" s="1058"/>
      <c r="AM89" s="1058"/>
    </row>
    <row r="90" spans="1:41">
      <c r="A90" s="374" t="s">
        <v>20</v>
      </c>
      <c r="B90" s="1033" t="s">
        <v>390</v>
      </c>
      <c r="C90" s="376" t="s">
        <v>185</v>
      </c>
      <c r="D90" s="377" t="e">
        <f>SUM(#REF!,#REF!)+'Pl 2016-20 PFC'!D184</f>
        <v>#REF!</v>
      </c>
      <c r="E90" s="939">
        <v>1650000</v>
      </c>
      <c r="F90" s="939">
        <v>2500000</v>
      </c>
      <c r="G90" s="939">
        <v>2500000</v>
      </c>
      <c r="H90" s="939">
        <v>0</v>
      </c>
      <c r="I90" s="939">
        <v>2500000</v>
      </c>
      <c r="J90" s="939">
        <v>2500000</v>
      </c>
      <c r="K90" s="939">
        <v>2500000</v>
      </c>
      <c r="L90" s="1047">
        <f t="shared" si="3"/>
        <v>151.5151515151515</v>
      </c>
      <c r="M90" s="986"/>
      <c r="N90" s="986"/>
      <c r="O90" s="986"/>
      <c r="P90" s="986"/>
      <c r="Q90" s="986"/>
    </row>
    <row r="91" spans="1:41">
      <c r="A91" s="374" t="s">
        <v>189</v>
      </c>
      <c r="B91" s="1033" t="s">
        <v>394</v>
      </c>
      <c r="C91" s="376" t="s">
        <v>191</v>
      </c>
      <c r="D91" s="377" t="e">
        <f>SUM(#REF!)</f>
        <v>#REF!</v>
      </c>
      <c r="E91" s="939">
        <v>3716000</v>
      </c>
      <c r="F91" s="939">
        <v>3782000</v>
      </c>
      <c r="G91" s="939">
        <v>3782000</v>
      </c>
      <c r="H91" s="939">
        <v>0</v>
      </c>
      <c r="I91" s="939">
        <v>3850000</v>
      </c>
      <c r="J91" s="939">
        <v>3946000</v>
      </c>
      <c r="K91" s="939">
        <v>4044000</v>
      </c>
      <c r="L91" s="1047">
        <f t="shared" si="3"/>
        <v>101.77610333692142</v>
      </c>
      <c r="M91" s="986"/>
      <c r="N91" s="986"/>
      <c r="O91" s="986"/>
      <c r="P91" s="986"/>
      <c r="Q91" s="986"/>
    </row>
    <row r="92" spans="1:41">
      <c r="A92" s="374">
        <v>3</v>
      </c>
      <c r="B92" s="1033" t="s">
        <v>193</v>
      </c>
      <c r="C92" s="376" t="s">
        <v>81</v>
      </c>
      <c r="D92" s="377" t="e">
        <f>SUM(#REF!)</f>
        <v>#REF!</v>
      </c>
      <c r="E92" s="939">
        <v>28283587.620000001</v>
      </c>
      <c r="F92" s="939">
        <v>17000000</v>
      </c>
      <c r="G92" s="939">
        <v>0</v>
      </c>
      <c r="H92" s="939">
        <v>-17000000</v>
      </c>
      <c r="I92" s="939">
        <v>0</v>
      </c>
      <c r="J92" s="939">
        <v>0</v>
      </c>
      <c r="K92" s="939">
        <v>0</v>
      </c>
      <c r="L92" s="1047">
        <f t="shared" si="3"/>
        <v>0</v>
      </c>
      <c r="M92" s="986"/>
      <c r="N92" s="986"/>
      <c r="O92" s="986"/>
      <c r="P92" s="986"/>
      <c r="Q92" s="986"/>
    </row>
    <row r="93" spans="1:41">
      <c r="A93" s="374">
        <v>4</v>
      </c>
      <c r="B93" s="1033" t="s">
        <v>395</v>
      </c>
      <c r="C93" s="376" t="s">
        <v>81</v>
      </c>
      <c r="D93" s="377" t="e">
        <f>SUM(D95,D96,D97,D98,D99,D100,D103)</f>
        <v>#REF!</v>
      </c>
      <c r="E93" s="939">
        <v>334602000</v>
      </c>
      <c r="F93" s="939">
        <v>340953726</v>
      </c>
      <c r="G93" s="939">
        <v>340934000</v>
      </c>
      <c r="H93" s="939">
        <v>-19726</v>
      </c>
      <c r="I93" s="939">
        <v>338673100</v>
      </c>
      <c r="J93" s="939">
        <v>342608100</v>
      </c>
      <c r="K93" s="939">
        <v>345580100</v>
      </c>
      <c r="L93" s="1047">
        <f t="shared" si="3"/>
        <v>101.89239753498185</v>
      </c>
      <c r="M93" s="986"/>
      <c r="N93" s="986"/>
      <c r="O93" s="986"/>
      <c r="P93" s="986"/>
      <c r="Q93" s="986"/>
    </row>
    <row r="94" spans="1:41">
      <c r="A94" s="374" t="s">
        <v>87</v>
      </c>
      <c r="B94" s="1033" t="s">
        <v>396</v>
      </c>
      <c r="C94" s="376" t="s">
        <v>81</v>
      </c>
      <c r="D94" s="377" t="e">
        <f>SUM(D95:D96)</f>
        <v>#REF!</v>
      </c>
      <c r="E94" s="939">
        <v>53482000</v>
      </c>
      <c r="F94" s="939">
        <v>63502000</v>
      </c>
      <c r="G94" s="939">
        <v>63482000</v>
      </c>
      <c r="H94" s="939">
        <v>-20000</v>
      </c>
      <c r="I94" s="939">
        <v>64627000</v>
      </c>
      <c r="J94" s="939">
        <v>66246000</v>
      </c>
      <c r="K94" s="939">
        <v>67905000</v>
      </c>
      <c r="L94" s="1047">
        <f t="shared" si="3"/>
        <v>118.6978796604465</v>
      </c>
      <c r="M94" s="986"/>
      <c r="N94" s="986"/>
      <c r="O94" s="986"/>
      <c r="P94" s="986"/>
      <c r="Q94" s="986"/>
    </row>
    <row r="95" spans="1:41">
      <c r="A95" s="374" t="s">
        <v>200</v>
      </c>
      <c r="B95" s="1033" t="s">
        <v>397</v>
      </c>
      <c r="C95" s="376" t="s">
        <v>1048</v>
      </c>
      <c r="D95" s="377" t="e">
        <f>#REF!</f>
        <v>#REF!</v>
      </c>
      <c r="E95" s="939">
        <v>52282000</v>
      </c>
      <c r="F95" s="939">
        <v>62282000</v>
      </c>
      <c r="G95" s="939">
        <v>62282000</v>
      </c>
      <c r="H95" s="939">
        <v>1312000</v>
      </c>
      <c r="I95" s="939">
        <v>63405000</v>
      </c>
      <c r="J95" s="939">
        <v>64993000</v>
      </c>
      <c r="K95" s="939">
        <v>66621000</v>
      </c>
      <c r="L95" s="1047">
        <f t="shared" si="3"/>
        <v>119.1270418117134</v>
      </c>
      <c r="M95" s="986"/>
      <c r="N95" s="986"/>
      <c r="O95" s="986"/>
      <c r="P95" s="986"/>
      <c r="Q95" s="986"/>
    </row>
    <row r="96" spans="1:41">
      <c r="A96" s="374" t="s">
        <v>203</v>
      </c>
      <c r="B96" s="1033" t="s">
        <v>398</v>
      </c>
      <c r="C96" s="376" t="s">
        <v>205</v>
      </c>
      <c r="D96" s="377" t="e">
        <f>#REF!</f>
        <v>#REF!</v>
      </c>
      <c r="E96" s="939">
        <v>1200000</v>
      </c>
      <c r="F96" s="939">
        <v>1220000</v>
      </c>
      <c r="G96" s="939">
        <v>1200000</v>
      </c>
      <c r="H96" s="939">
        <v>-20000</v>
      </c>
      <c r="I96" s="939">
        <v>1222000</v>
      </c>
      <c r="J96" s="939">
        <v>1253000</v>
      </c>
      <c r="K96" s="939">
        <v>1284000</v>
      </c>
      <c r="L96" s="1047">
        <f t="shared" si="3"/>
        <v>100</v>
      </c>
      <c r="M96" s="986"/>
      <c r="N96" s="986"/>
      <c r="O96" s="986"/>
      <c r="P96" s="986"/>
      <c r="Q96" s="986"/>
    </row>
    <row r="97" spans="1:41">
      <c r="A97" s="374" t="s">
        <v>89</v>
      </c>
      <c r="B97" s="1033" t="s">
        <v>402</v>
      </c>
      <c r="C97" s="376" t="s">
        <v>1049</v>
      </c>
      <c r="D97" s="377" t="e">
        <f>SUM(#REF!)</f>
        <v>#REF!</v>
      </c>
      <c r="E97" s="939">
        <v>9392000</v>
      </c>
      <c r="F97" s="939">
        <v>11866000</v>
      </c>
      <c r="G97" s="939">
        <v>11866000</v>
      </c>
      <c r="H97" s="939">
        <v>434000</v>
      </c>
      <c r="I97" s="939">
        <v>12078000</v>
      </c>
      <c r="J97" s="939">
        <v>12384000</v>
      </c>
      <c r="K97" s="939">
        <v>12690000</v>
      </c>
      <c r="L97" s="1047">
        <f t="shared" si="3"/>
        <v>126.34156729131176</v>
      </c>
      <c r="M97" s="986"/>
      <c r="N97" s="986"/>
      <c r="O97" s="986"/>
      <c r="P97" s="986"/>
      <c r="Q97" s="986"/>
    </row>
    <row r="98" spans="1:41">
      <c r="A98" s="374" t="s">
        <v>206</v>
      </c>
      <c r="B98" s="1033" t="s">
        <v>404</v>
      </c>
      <c r="C98" s="376" t="s">
        <v>1055</v>
      </c>
      <c r="D98" s="377" t="e">
        <f>SUM(#REF!)</f>
        <v>#REF!</v>
      </c>
      <c r="E98" s="939">
        <v>1311000</v>
      </c>
      <c r="F98" s="939">
        <v>1660000</v>
      </c>
      <c r="G98" s="939">
        <v>1660000</v>
      </c>
      <c r="H98" s="939">
        <v>254000</v>
      </c>
      <c r="I98" s="939">
        <v>1691000</v>
      </c>
      <c r="J98" s="939">
        <v>1731000</v>
      </c>
      <c r="K98" s="939">
        <v>1772000</v>
      </c>
      <c r="L98" s="1047">
        <f t="shared" si="3"/>
        <v>126.62090007627765</v>
      </c>
      <c r="M98" s="986"/>
      <c r="N98" s="986"/>
      <c r="O98" s="986"/>
      <c r="P98" s="986"/>
      <c r="Q98" s="986"/>
    </row>
    <row r="99" spans="1:41">
      <c r="A99" s="374" t="s">
        <v>209</v>
      </c>
      <c r="B99" s="1033" t="s">
        <v>666</v>
      </c>
      <c r="C99" s="376" t="s">
        <v>216</v>
      </c>
      <c r="D99" s="377">
        <f>'Pl 2016-20 PFC'!D239</f>
        <v>16604000</v>
      </c>
      <c r="E99" s="939">
        <v>46509000</v>
      </c>
      <c r="F99" s="939">
        <v>47338000</v>
      </c>
      <c r="G99" s="939">
        <v>47338000</v>
      </c>
      <c r="H99" s="939">
        <v>0</v>
      </c>
      <c r="I99" s="939">
        <v>47845000</v>
      </c>
      <c r="J99" s="939">
        <v>48872000</v>
      </c>
      <c r="K99" s="939">
        <v>49385000</v>
      </c>
      <c r="L99" s="1047">
        <f t="shared" si="3"/>
        <v>101.78245070846503</v>
      </c>
      <c r="M99" s="986"/>
      <c r="N99" s="986"/>
      <c r="O99" s="986"/>
      <c r="P99" s="986"/>
      <c r="Q99" s="986"/>
    </row>
    <row r="100" spans="1:41">
      <c r="A100" s="374" t="s">
        <v>212</v>
      </c>
      <c r="B100" s="1033" t="s">
        <v>409</v>
      </c>
      <c r="C100" s="376" t="s">
        <v>81</v>
      </c>
      <c r="D100" s="377" t="e">
        <f>SUM(#REF!)</f>
        <v>#REF!</v>
      </c>
      <c r="E100" s="939">
        <v>28908000</v>
      </c>
      <c r="F100" s="939">
        <v>36588726</v>
      </c>
      <c r="G100" s="939">
        <v>36589000</v>
      </c>
      <c r="H100" s="939">
        <v>274</v>
      </c>
      <c r="I100" s="939">
        <v>47433000</v>
      </c>
      <c r="J100" s="939">
        <v>53376000</v>
      </c>
      <c r="K100" s="939">
        <v>53829000</v>
      </c>
      <c r="L100" s="1047">
        <f t="shared" si="3"/>
        <v>126.570499515705</v>
      </c>
      <c r="M100" s="986"/>
      <c r="N100" s="986"/>
      <c r="O100" s="1003">
        <f>G55+G135-G147</f>
        <v>167124739</v>
      </c>
      <c r="P100" s="986"/>
      <c r="Q100" s="986"/>
    </row>
    <row r="101" spans="1:41">
      <c r="A101" s="374" t="s">
        <v>214</v>
      </c>
      <c r="B101" s="1033" t="s">
        <v>418</v>
      </c>
      <c r="C101" s="376" t="s">
        <v>264</v>
      </c>
      <c r="D101" s="377">
        <f>IF(('Pl 2016-20 PFC'!D270)=0,"0",'Pl 2016-20 PFC'!D270)</f>
        <v>20990000</v>
      </c>
      <c r="E101" s="939">
        <v>20025000</v>
      </c>
      <c r="F101" s="939">
        <v>25442000</v>
      </c>
      <c r="G101" s="939">
        <v>25442000</v>
      </c>
      <c r="H101" s="939">
        <v>0</v>
      </c>
      <c r="I101" s="939">
        <v>36341000</v>
      </c>
      <c r="J101" s="939">
        <v>42256000</v>
      </c>
      <c r="K101" s="939">
        <v>42681000</v>
      </c>
      <c r="L101" s="1047">
        <f t="shared" si="3"/>
        <v>127.05118601747816</v>
      </c>
      <c r="M101" s="986"/>
      <c r="N101" s="986"/>
      <c r="O101" s="986"/>
      <c r="P101" s="986"/>
      <c r="Q101" s="986"/>
    </row>
    <row r="102" spans="1:41">
      <c r="A102" s="374" t="s">
        <v>235</v>
      </c>
      <c r="B102" s="1033" t="s">
        <v>422</v>
      </c>
      <c r="C102" s="376" t="s">
        <v>238</v>
      </c>
      <c r="D102" s="377">
        <f>'Pl 2016-20 PFC'!D253</f>
        <v>8883000</v>
      </c>
      <c r="E102" s="939">
        <v>8883000</v>
      </c>
      <c r="F102" s="939">
        <v>11146726</v>
      </c>
      <c r="G102" s="939">
        <v>11147000</v>
      </c>
      <c r="H102" s="939">
        <v>274</v>
      </c>
      <c r="I102" s="939">
        <v>11092000</v>
      </c>
      <c r="J102" s="939">
        <v>11120000</v>
      </c>
      <c r="K102" s="939">
        <v>11148000</v>
      </c>
      <c r="L102" s="1047">
        <f t="shared" si="3"/>
        <v>125.48688506135315</v>
      </c>
      <c r="M102" s="986"/>
      <c r="N102" s="986"/>
      <c r="O102" s="986"/>
      <c r="P102" s="986"/>
      <c r="Q102" s="986"/>
    </row>
    <row r="103" spans="1:41" s="1170" customFormat="1" ht="31.2">
      <c r="A103" s="374" t="s">
        <v>265</v>
      </c>
      <c r="B103" s="1147" t="s">
        <v>637</v>
      </c>
      <c r="C103" s="1167" t="s">
        <v>267</v>
      </c>
      <c r="D103" s="1149">
        <f>IF(('Pl 2016-20 PFC'!D271)=0,"0",'Pl 2016-20 PFC'!D271)</f>
        <v>195000000</v>
      </c>
      <c r="E103" s="1150">
        <v>195000000</v>
      </c>
      <c r="F103" s="1150">
        <v>179999000</v>
      </c>
      <c r="G103" s="1150">
        <v>179999000</v>
      </c>
      <c r="H103" s="1150">
        <v>0</v>
      </c>
      <c r="I103" s="1150">
        <v>164999100</v>
      </c>
      <c r="J103" s="1150">
        <v>159999100</v>
      </c>
      <c r="K103" s="1150">
        <v>159999100</v>
      </c>
      <c r="L103" s="1151">
        <f t="shared" si="3"/>
        <v>92.307179487179482</v>
      </c>
      <c r="M103" s="1004"/>
      <c r="N103" s="1004"/>
      <c r="O103" s="1004"/>
      <c r="P103" s="1004"/>
      <c r="Q103" s="1004"/>
      <c r="R103" s="1168"/>
      <c r="S103" s="1168"/>
      <c r="T103" s="1168"/>
      <c r="U103" s="1168"/>
      <c r="V103" s="1168"/>
      <c r="W103" s="1168"/>
      <c r="X103" s="1168"/>
      <c r="Y103" s="1168"/>
      <c r="Z103" s="1168"/>
      <c r="AA103" s="1168"/>
      <c r="AB103" s="1168"/>
      <c r="AC103" s="1168"/>
      <c r="AD103" s="1168"/>
      <c r="AE103" s="1168"/>
      <c r="AF103" s="1168"/>
      <c r="AG103" s="1168"/>
      <c r="AH103" s="1168"/>
      <c r="AI103" s="1168"/>
      <c r="AJ103" s="1168"/>
      <c r="AK103" s="1168"/>
      <c r="AL103" s="1168"/>
      <c r="AM103" s="1168"/>
      <c r="AN103" s="1169"/>
      <c r="AO103" s="1169"/>
    </row>
    <row r="104" spans="1:41">
      <c r="A104" s="374">
        <v>5</v>
      </c>
      <c r="B104" s="1033" t="s">
        <v>423</v>
      </c>
      <c r="C104" s="376" t="s">
        <v>81</v>
      </c>
      <c r="D104" s="377" t="e">
        <f>SUM(#REF!,D105)</f>
        <v>#REF!</v>
      </c>
      <c r="E104" s="939">
        <v>56855969.609999999</v>
      </c>
      <c r="F104" s="939">
        <v>208000000</v>
      </c>
      <c r="G104" s="939">
        <v>150200000</v>
      </c>
      <c r="H104" s="939">
        <v>-57800000</v>
      </c>
      <c r="I104" s="939">
        <v>96320000</v>
      </c>
      <c r="J104" s="939">
        <v>131350000</v>
      </c>
      <c r="K104" s="939">
        <v>150970000</v>
      </c>
      <c r="L104" s="1047">
        <f t="shared" si="3"/>
        <v>264.17630554942184</v>
      </c>
      <c r="M104" s="1003"/>
      <c r="N104" s="986"/>
      <c r="O104" s="986"/>
      <c r="P104" s="986"/>
      <c r="Q104" s="986"/>
    </row>
    <row r="105" spans="1:41" s="1042" customFormat="1">
      <c r="A105" s="374" t="s">
        <v>27</v>
      </c>
      <c r="B105" s="1033" t="s">
        <v>426</v>
      </c>
      <c r="C105" s="376" t="s">
        <v>427</v>
      </c>
      <c r="D105" s="377" t="e">
        <f>SUM(D106,D107)</f>
        <v>#REF!</v>
      </c>
      <c r="E105" s="939">
        <v>26985969.609999999</v>
      </c>
      <c r="F105" s="939">
        <v>162100000</v>
      </c>
      <c r="G105" s="939">
        <v>104300000</v>
      </c>
      <c r="H105" s="939">
        <v>-57800000</v>
      </c>
      <c r="I105" s="939">
        <v>54300000</v>
      </c>
      <c r="J105" s="939">
        <v>99300000</v>
      </c>
      <c r="K105" s="939">
        <v>129300000</v>
      </c>
      <c r="L105" s="1047">
        <f t="shared" si="3"/>
        <v>386.49713724331139</v>
      </c>
      <c r="M105" s="994"/>
      <c r="N105" s="994"/>
      <c r="O105" s="994"/>
      <c r="P105" s="994"/>
      <c r="Q105" s="994"/>
      <c r="R105" s="1107"/>
      <c r="S105" s="1107"/>
      <c r="T105" s="1107"/>
      <c r="U105" s="1107"/>
      <c r="V105" s="1107"/>
      <c r="W105" s="1107"/>
      <c r="X105" s="1107"/>
      <c r="Y105" s="1107"/>
      <c r="Z105" s="1107"/>
      <c r="AA105" s="1107"/>
      <c r="AB105" s="1107"/>
      <c r="AC105" s="1107"/>
      <c r="AD105" s="1107"/>
      <c r="AE105" s="1107"/>
      <c r="AF105" s="1107"/>
      <c r="AG105" s="1107"/>
      <c r="AH105" s="1107"/>
      <c r="AI105" s="1107"/>
      <c r="AJ105" s="1107"/>
      <c r="AK105" s="1107"/>
      <c r="AL105" s="1107"/>
      <c r="AM105" s="1107"/>
      <c r="AN105" s="1041"/>
      <c r="AO105" s="1041"/>
    </row>
    <row r="106" spans="1:41" s="1042" customFormat="1">
      <c r="A106" s="374" t="s">
        <v>93</v>
      </c>
      <c r="B106" s="1033" t="s">
        <v>428</v>
      </c>
      <c r="C106" s="376" t="s">
        <v>278</v>
      </c>
      <c r="D106" s="377" t="e">
        <f>SUM(#REF!)</f>
        <v>#REF!</v>
      </c>
      <c r="E106" s="939">
        <v>22605969.609999999</v>
      </c>
      <c r="F106" s="939">
        <v>152700000</v>
      </c>
      <c r="G106" s="939">
        <v>98200000</v>
      </c>
      <c r="H106" s="939">
        <v>-54500000</v>
      </c>
      <c r="I106" s="939">
        <v>48200000</v>
      </c>
      <c r="J106" s="939">
        <v>93200000</v>
      </c>
      <c r="K106" s="939">
        <v>123200000</v>
      </c>
      <c r="L106" s="1047">
        <f t="shared" si="3"/>
        <v>434.39853142401881</v>
      </c>
      <c r="M106" s="995"/>
      <c r="N106" s="994"/>
      <c r="O106" s="994"/>
      <c r="P106" s="994"/>
      <c r="Q106" s="994"/>
      <c r="R106" s="1107"/>
      <c r="S106" s="1107"/>
      <c r="T106" s="1107"/>
      <c r="U106" s="1107"/>
      <c r="V106" s="1107"/>
      <c r="W106" s="1107"/>
      <c r="X106" s="1107"/>
      <c r="Y106" s="1107"/>
      <c r="Z106" s="1107"/>
      <c r="AA106" s="1107"/>
      <c r="AB106" s="1107"/>
      <c r="AC106" s="1107"/>
      <c r="AD106" s="1107"/>
      <c r="AE106" s="1107"/>
      <c r="AF106" s="1107"/>
      <c r="AG106" s="1107"/>
      <c r="AH106" s="1107"/>
      <c r="AI106" s="1107"/>
      <c r="AJ106" s="1107"/>
      <c r="AK106" s="1107"/>
      <c r="AL106" s="1107"/>
      <c r="AM106" s="1107"/>
      <c r="AN106" s="1041"/>
      <c r="AO106" s="1041"/>
    </row>
    <row r="107" spans="1:41" s="1042" customFormat="1">
      <c r="A107" s="374" t="s">
        <v>94</v>
      </c>
      <c r="B107" s="1033" t="s">
        <v>432</v>
      </c>
      <c r="C107" s="376" t="s">
        <v>283</v>
      </c>
      <c r="D107" s="377" t="e">
        <f>SUM(#REF!)</f>
        <v>#REF!</v>
      </c>
      <c r="E107" s="939">
        <v>4380000</v>
      </c>
      <c r="F107" s="939">
        <v>9400000</v>
      </c>
      <c r="G107" s="939">
        <v>6100000</v>
      </c>
      <c r="H107" s="939">
        <v>-3300000</v>
      </c>
      <c r="I107" s="939">
        <v>6100000</v>
      </c>
      <c r="J107" s="939">
        <v>6100000</v>
      </c>
      <c r="K107" s="939">
        <v>6100000</v>
      </c>
      <c r="L107" s="1047">
        <f t="shared" si="3"/>
        <v>139.26940639269407</v>
      </c>
      <c r="M107" s="995"/>
      <c r="N107" s="994">
        <f>N109*0.005</f>
        <v>750000000</v>
      </c>
      <c r="O107" s="994">
        <f>O109*0.005</f>
        <v>750000</v>
      </c>
      <c r="P107" s="994"/>
      <c r="Q107" s="994"/>
      <c r="R107" s="1107"/>
      <c r="S107" s="1107"/>
      <c r="T107" s="1107"/>
      <c r="U107" s="1107"/>
      <c r="V107" s="1107"/>
      <c r="W107" s="1107"/>
      <c r="X107" s="1107"/>
      <c r="Y107" s="1107"/>
      <c r="Z107" s="1107"/>
      <c r="AA107" s="1107"/>
      <c r="AB107" s="1107"/>
      <c r="AC107" s="1107"/>
      <c r="AD107" s="1107"/>
      <c r="AE107" s="1107"/>
      <c r="AF107" s="1107"/>
      <c r="AG107" s="1107"/>
      <c r="AH107" s="1107"/>
      <c r="AI107" s="1107"/>
      <c r="AJ107" s="1107"/>
      <c r="AK107" s="1107"/>
      <c r="AL107" s="1107"/>
      <c r="AM107" s="1107"/>
      <c r="AN107" s="1041"/>
      <c r="AO107" s="1041"/>
    </row>
    <row r="108" spans="1:41">
      <c r="A108" s="374">
        <v>6</v>
      </c>
      <c r="B108" s="1033" t="s">
        <v>435</v>
      </c>
      <c r="C108" s="376" t="s">
        <v>115</v>
      </c>
      <c r="D108" s="377">
        <f>SUM(D109,D110,D111,D112)</f>
        <v>915783000</v>
      </c>
      <c r="E108" s="939">
        <v>915783000</v>
      </c>
      <c r="F108" s="939">
        <v>922378500</v>
      </c>
      <c r="G108" s="939">
        <v>922378500</v>
      </c>
      <c r="H108" s="939">
        <v>0</v>
      </c>
      <c r="I108" s="939">
        <v>922378500</v>
      </c>
      <c r="J108" s="939">
        <v>922378500</v>
      </c>
      <c r="K108" s="939">
        <v>922378500</v>
      </c>
      <c r="L108" s="1047">
        <f t="shared" si="3"/>
        <v>100.72020336695483</v>
      </c>
      <c r="M108" s="986"/>
      <c r="N108" s="986"/>
      <c r="O108" s="986"/>
      <c r="P108" s="986"/>
      <c r="Q108" s="986"/>
    </row>
    <row r="109" spans="1:41" s="1042" customFormat="1">
      <c r="A109" s="374" t="s">
        <v>436</v>
      </c>
      <c r="B109" s="1033" t="s">
        <v>437</v>
      </c>
      <c r="C109" s="376"/>
      <c r="D109" s="377">
        <f>'Pl 2016-20 PFC'!D318</f>
        <v>146341000</v>
      </c>
      <c r="E109" s="939">
        <v>146341000</v>
      </c>
      <c r="F109" s="939">
        <v>146341000</v>
      </c>
      <c r="G109" s="939">
        <v>146341000</v>
      </c>
      <c r="H109" s="939">
        <v>0</v>
      </c>
      <c r="I109" s="939">
        <v>146341000</v>
      </c>
      <c r="J109" s="939">
        <v>146341000</v>
      </c>
      <c r="K109" s="939">
        <v>146341000</v>
      </c>
      <c r="L109" s="1047">
        <f t="shared" si="3"/>
        <v>100</v>
      </c>
      <c r="M109" s="994"/>
      <c r="N109" s="995">
        <f>(J109+J110)*1000</f>
        <v>150000000000</v>
      </c>
      <c r="O109" s="995">
        <f>K109+K110</f>
        <v>150000000</v>
      </c>
      <c r="P109" s="994"/>
      <c r="Q109" s="994"/>
      <c r="R109" s="1107"/>
      <c r="S109" s="1107"/>
      <c r="T109" s="1107"/>
      <c r="U109" s="1107"/>
      <c r="V109" s="1107"/>
      <c r="W109" s="1107"/>
      <c r="X109" s="1107"/>
      <c r="Y109" s="1107"/>
      <c r="Z109" s="1107"/>
      <c r="AA109" s="1107"/>
      <c r="AB109" s="1107"/>
      <c r="AC109" s="1107"/>
      <c r="AD109" s="1107"/>
      <c r="AE109" s="1107"/>
      <c r="AF109" s="1107"/>
      <c r="AG109" s="1107"/>
      <c r="AH109" s="1107"/>
      <c r="AI109" s="1107"/>
      <c r="AJ109" s="1107"/>
      <c r="AK109" s="1107"/>
      <c r="AL109" s="1107"/>
      <c r="AM109" s="1107"/>
      <c r="AN109" s="1041"/>
      <c r="AO109" s="1041"/>
    </row>
    <row r="110" spans="1:41" s="1042" customFormat="1">
      <c r="A110" s="374" t="s">
        <v>438</v>
      </c>
      <c r="B110" s="1033" t="s">
        <v>439</v>
      </c>
      <c r="C110" s="376"/>
      <c r="D110" s="377">
        <f>'Pl 2016-20 PFC'!D320</f>
        <v>3659000</v>
      </c>
      <c r="E110" s="939">
        <v>3659000</v>
      </c>
      <c r="F110" s="939">
        <v>3659000</v>
      </c>
      <c r="G110" s="939">
        <v>3659000</v>
      </c>
      <c r="H110" s="939">
        <v>0</v>
      </c>
      <c r="I110" s="939">
        <v>3659000</v>
      </c>
      <c r="J110" s="939">
        <v>3659000</v>
      </c>
      <c r="K110" s="939">
        <v>3659000</v>
      </c>
      <c r="L110" s="1047">
        <f t="shared" si="3"/>
        <v>100</v>
      </c>
      <c r="M110" s="994"/>
      <c r="N110" s="995">
        <f>(J111+J112)*1000</f>
        <v>772378500000</v>
      </c>
      <c r="O110" s="995">
        <f>K111+K112</f>
        <v>772378500</v>
      </c>
      <c r="P110" s="994"/>
      <c r="Q110" s="994"/>
      <c r="R110" s="1107"/>
      <c r="S110" s="1107"/>
      <c r="T110" s="1107"/>
      <c r="U110" s="1107"/>
      <c r="V110" s="1107"/>
      <c r="W110" s="1107"/>
      <c r="X110" s="1107"/>
      <c r="Y110" s="1107"/>
      <c r="Z110" s="1107"/>
      <c r="AA110" s="1107"/>
      <c r="AB110" s="1107"/>
      <c r="AC110" s="1107"/>
      <c r="AD110" s="1107"/>
      <c r="AE110" s="1107"/>
      <c r="AF110" s="1107"/>
      <c r="AG110" s="1107"/>
      <c r="AH110" s="1107"/>
      <c r="AI110" s="1107"/>
      <c r="AJ110" s="1107"/>
      <c r="AK110" s="1107"/>
      <c r="AL110" s="1107"/>
      <c r="AM110" s="1107"/>
      <c r="AN110" s="1041"/>
      <c r="AO110" s="1041"/>
    </row>
    <row r="111" spans="1:41" s="1042" customFormat="1">
      <c r="A111" s="374" t="s">
        <v>440</v>
      </c>
      <c r="B111" s="1033" t="s">
        <v>441</v>
      </c>
      <c r="C111" s="376"/>
      <c r="D111" s="377">
        <f>'Pl 2016-20 PFC'!D322</f>
        <v>747105000</v>
      </c>
      <c r="E111" s="939">
        <v>747105000</v>
      </c>
      <c r="F111" s="939">
        <v>753540000</v>
      </c>
      <c r="G111" s="939">
        <v>753540000</v>
      </c>
      <c r="H111" s="939">
        <v>0</v>
      </c>
      <c r="I111" s="939">
        <v>753540000</v>
      </c>
      <c r="J111" s="939">
        <v>753540000</v>
      </c>
      <c r="K111" s="939">
        <v>753540000</v>
      </c>
      <c r="L111" s="1047">
        <f t="shared" si="3"/>
        <v>100.8613247133937</v>
      </c>
      <c r="M111" s="994"/>
      <c r="N111" s="994"/>
      <c r="O111" s="994"/>
      <c r="P111" s="994"/>
      <c r="Q111" s="994"/>
      <c r="R111" s="1107"/>
      <c r="S111" s="1107"/>
      <c r="T111" s="1107"/>
      <c r="U111" s="1107"/>
      <c r="V111" s="1107"/>
      <c r="W111" s="1107"/>
      <c r="X111" s="1107"/>
      <c r="Y111" s="1107"/>
      <c r="Z111" s="1107"/>
      <c r="AA111" s="1107"/>
      <c r="AB111" s="1107"/>
      <c r="AC111" s="1107"/>
      <c r="AD111" s="1107"/>
      <c r="AE111" s="1107"/>
      <c r="AF111" s="1107"/>
      <c r="AG111" s="1107"/>
      <c r="AH111" s="1107"/>
      <c r="AI111" s="1107"/>
      <c r="AJ111" s="1107"/>
      <c r="AK111" s="1107"/>
      <c r="AL111" s="1107"/>
      <c r="AM111" s="1107"/>
      <c r="AN111" s="1041"/>
      <c r="AO111" s="1041"/>
    </row>
    <row r="112" spans="1:41" s="1042" customFormat="1">
      <c r="A112" s="374" t="s">
        <v>442</v>
      </c>
      <c r="B112" s="1033" t="s">
        <v>443</v>
      </c>
      <c r="C112" s="376"/>
      <c r="D112" s="377">
        <f>'Pl 2016-20 PFC'!D324</f>
        <v>18678000</v>
      </c>
      <c r="E112" s="939">
        <v>18678000</v>
      </c>
      <c r="F112" s="939">
        <v>18838500</v>
      </c>
      <c r="G112" s="939">
        <v>18838500</v>
      </c>
      <c r="H112" s="939">
        <v>0</v>
      </c>
      <c r="I112" s="939">
        <v>18838500</v>
      </c>
      <c r="J112" s="939">
        <v>18838500</v>
      </c>
      <c r="K112" s="939">
        <v>18838500</v>
      </c>
      <c r="L112" s="1047">
        <f t="shared" si="3"/>
        <v>100.85929971088981</v>
      </c>
      <c r="M112" s="994"/>
      <c r="N112" s="994">
        <f>N110*0.001</f>
        <v>772378500</v>
      </c>
      <c r="O112" s="994">
        <f>O110*0.001</f>
        <v>772378.5</v>
      </c>
      <c r="P112" s="994"/>
      <c r="Q112" s="994"/>
      <c r="R112" s="1107"/>
      <c r="S112" s="1107"/>
      <c r="T112" s="1107"/>
      <c r="U112" s="1107"/>
      <c r="V112" s="1106">
        <f>E55+E135-E147</f>
        <v>340014873.94999981</v>
      </c>
      <c r="W112" s="1106">
        <f>F55+F135-F147</f>
        <v>-18661585</v>
      </c>
      <c r="X112" s="1106">
        <f>I55+I135-I147</f>
        <v>145381175</v>
      </c>
      <c r="Y112" s="1106">
        <f>J55+J135-J147</f>
        <v>239998325</v>
      </c>
      <c r="Z112" s="1106">
        <f>K55+K135-K147</f>
        <v>459401702</v>
      </c>
      <c r="AA112" s="1106"/>
      <c r="AB112" s="1107"/>
      <c r="AC112" s="1107"/>
      <c r="AD112" s="1107"/>
      <c r="AE112" s="1107"/>
      <c r="AF112" s="1107"/>
      <c r="AG112" s="1107"/>
      <c r="AH112" s="1107"/>
      <c r="AI112" s="1107"/>
      <c r="AJ112" s="1107"/>
      <c r="AK112" s="1107"/>
      <c r="AL112" s="1107"/>
      <c r="AM112" s="1107"/>
      <c r="AN112" s="1041"/>
      <c r="AO112" s="1041"/>
    </row>
    <row r="113" spans="1:41" s="1042" customFormat="1">
      <c r="A113" s="374">
        <v>7</v>
      </c>
      <c r="B113" s="1033" t="s">
        <v>73</v>
      </c>
      <c r="C113" s="376" t="s">
        <v>81</v>
      </c>
      <c r="D113" s="377" t="e">
        <f>SUM(#REF!)</f>
        <v>#REF!</v>
      </c>
      <c r="E113" s="939">
        <v>4118496.31</v>
      </c>
      <c r="F113" s="939">
        <v>1650000</v>
      </c>
      <c r="G113" s="939">
        <v>1650000</v>
      </c>
      <c r="H113" s="939">
        <v>0</v>
      </c>
      <c r="I113" s="939">
        <v>1900000</v>
      </c>
      <c r="J113" s="939">
        <v>1350000</v>
      </c>
      <c r="K113" s="939">
        <v>1350000</v>
      </c>
      <c r="L113" s="1047">
        <f t="shared" si="3"/>
        <v>40.063165675144191</v>
      </c>
      <c r="M113" s="994"/>
      <c r="N113" s="994"/>
      <c r="O113" s="994"/>
      <c r="P113" s="994"/>
      <c r="Q113" s="994"/>
      <c r="R113" s="1107"/>
      <c r="S113" s="1107"/>
      <c r="T113" s="1107"/>
      <c r="U113" s="1107"/>
      <c r="V113" s="1107"/>
      <c r="W113" s="1107"/>
      <c r="X113" s="1107"/>
      <c r="Y113" s="1107"/>
      <c r="Z113" s="1107"/>
      <c r="AA113" s="1107"/>
      <c r="AB113" s="1107"/>
      <c r="AC113" s="1107"/>
      <c r="AD113" s="1107"/>
      <c r="AE113" s="1107"/>
      <c r="AF113" s="1107"/>
      <c r="AG113" s="1107"/>
      <c r="AH113" s="1107"/>
      <c r="AI113" s="1107"/>
      <c r="AJ113" s="1107"/>
      <c r="AK113" s="1107"/>
      <c r="AL113" s="1107"/>
      <c r="AM113" s="1107"/>
      <c r="AN113" s="1041"/>
      <c r="AO113" s="1041"/>
    </row>
    <row r="114" spans="1:41" s="1042" customFormat="1">
      <c r="A114" s="1102"/>
      <c r="B114" s="1171"/>
      <c r="C114" s="1172"/>
      <c r="D114" s="1172"/>
      <c r="E114" s="1104"/>
      <c r="F114" s="1104"/>
      <c r="G114" s="1104"/>
      <c r="H114" s="1104"/>
      <c r="I114" s="1104"/>
      <c r="J114" s="1104"/>
      <c r="K114" s="1104"/>
      <c r="L114" s="1105"/>
      <c r="M114" s="994"/>
      <c r="N114" s="994"/>
      <c r="O114" s="994"/>
      <c r="P114" s="994"/>
      <c r="Q114" s="994"/>
      <c r="R114" s="1107"/>
      <c r="S114" s="1107"/>
      <c r="T114" s="1107"/>
      <c r="U114" s="1107"/>
      <c r="V114" s="1107"/>
      <c r="W114" s="1107"/>
      <c r="X114" s="1107"/>
      <c r="Y114" s="1107"/>
      <c r="Z114" s="1107"/>
      <c r="AA114" s="1107"/>
      <c r="AB114" s="1107"/>
      <c r="AC114" s="1107"/>
      <c r="AD114" s="1107"/>
      <c r="AE114" s="1107"/>
      <c r="AF114" s="1107"/>
      <c r="AG114" s="1107"/>
      <c r="AH114" s="1107"/>
      <c r="AI114" s="1107"/>
      <c r="AJ114" s="1107"/>
      <c r="AK114" s="1107"/>
      <c r="AL114" s="1107"/>
      <c r="AM114" s="1107"/>
      <c r="AN114" s="1041"/>
      <c r="AO114" s="1041"/>
    </row>
    <row r="115" spans="1:41" s="1101" customFormat="1">
      <c r="A115" s="1094" t="s">
        <v>644</v>
      </c>
      <c r="B115" s="1123" t="s">
        <v>444</v>
      </c>
      <c r="C115" s="1124" t="s">
        <v>81</v>
      </c>
      <c r="D115" s="1125" t="e">
        <f>(D53+D69-D81)+D43</f>
        <v>#REF!</v>
      </c>
      <c r="E115" s="1126">
        <v>294248395.89999962</v>
      </c>
      <c r="F115" s="1126">
        <v>-113552322</v>
      </c>
      <c r="G115" s="1126">
        <v>84619002</v>
      </c>
      <c r="H115" s="1126">
        <v>198171324</v>
      </c>
      <c r="I115" s="1126">
        <v>26783456</v>
      </c>
      <c r="J115" s="1126">
        <v>77690992</v>
      </c>
      <c r="K115" s="1126">
        <v>245598533</v>
      </c>
      <c r="L115" s="1097">
        <f t="shared" si="3"/>
        <v>28.757676568186895</v>
      </c>
      <c r="M115" s="992"/>
      <c r="N115" s="992"/>
      <c r="O115" s="992"/>
      <c r="P115" s="992"/>
      <c r="Q115" s="992"/>
      <c r="R115" s="1100"/>
      <c r="S115" s="1100"/>
      <c r="T115" s="1100"/>
      <c r="U115" s="1100"/>
      <c r="V115" s="1100"/>
      <c r="W115" s="1100"/>
      <c r="X115" s="1100"/>
      <c r="Y115" s="1100"/>
      <c r="Z115" s="1100"/>
      <c r="AA115" s="1100"/>
      <c r="AB115" s="1100"/>
      <c r="AC115" s="1100"/>
      <c r="AD115" s="1100"/>
      <c r="AE115" s="1100"/>
      <c r="AF115" s="1100"/>
      <c r="AG115" s="1100"/>
      <c r="AH115" s="1100"/>
      <c r="AI115" s="1100"/>
      <c r="AJ115" s="1100"/>
      <c r="AK115" s="1100"/>
      <c r="AL115" s="1100"/>
      <c r="AM115" s="1100"/>
      <c r="AN115" s="1100"/>
      <c r="AO115" s="1100"/>
    </row>
    <row r="116" spans="1:41" s="1042" customFormat="1">
      <c r="A116" s="1128"/>
      <c r="B116" s="1033" t="s">
        <v>295</v>
      </c>
      <c r="C116" s="1129"/>
      <c r="D116" s="1173">
        <f>SUM(D117:D118,D121)+SUM(D124:D129)</f>
        <v>133165000</v>
      </c>
      <c r="E116" s="1174"/>
      <c r="F116" s="1175"/>
      <c r="G116" s="1175"/>
      <c r="H116" s="1176"/>
      <c r="I116" s="1177"/>
      <c r="J116" s="1177"/>
      <c r="K116" s="1177"/>
      <c r="L116" s="1178" t="e">
        <f t="shared" si="3"/>
        <v>#DIV/0!</v>
      </c>
      <c r="M116" s="994"/>
      <c r="N116" s="994"/>
      <c r="O116" s="2263" t="s">
        <v>651</v>
      </c>
      <c r="P116" s="2263"/>
      <c r="Q116" s="2263"/>
      <c r="R116" s="1107"/>
      <c r="S116" s="1107"/>
      <c r="T116" s="1107"/>
      <c r="U116" s="1107"/>
      <c r="V116" s="1107"/>
      <c r="W116" s="1107"/>
      <c r="X116" s="1107"/>
      <c r="Y116" s="1107"/>
      <c r="Z116" s="1107"/>
      <c r="AA116" s="1107"/>
      <c r="AB116" s="1107"/>
      <c r="AC116" s="1107"/>
      <c r="AD116" s="1107"/>
      <c r="AE116" s="1107"/>
      <c r="AF116" s="1107"/>
      <c r="AG116" s="1107"/>
      <c r="AH116" s="1107"/>
      <c r="AI116" s="1107"/>
      <c r="AJ116" s="1107"/>
      <c r="AK116" s="1107"/>
      <c r="AL116" s="1107"/>
      <c r="AM116" s="1107"/>
      <c r="AN116" s="1041"/>
      <c r="AO116" s="1041"/>
    </row>
    <row r="117" spans="1:41" s="1042" customFormat="1" ht="33.75" customHeight="1">
      <c r="A117" s="374">
        <v>1</v>
      </c>
      <c r="B117" s="1033" t="s">
        <v>351</v>
      </c>
      <c r="C117" s="376" t="s">
        <v>81</v>
      </c>
      <c r="D117" s="377">
        <f>'Pl 2016-20 PFC'!D333</f>
        <v>172001000</v>
      </c>
      <c r="E117" s="939">
        <v>340014874</v>
      </c>
      <c r="F117" s="939">
        <v>0</v>
      </c>
      <c r="G117" s="939">
        <v>167124739</v>
      </c>
      <c r="H117" s="939">
        <v>167124739</v>
      </c>
      <c r="I117" s="939">
        <v>145381175</v>
      </c>
      <c r="J117" s="939">
        <v>239998325</v>
      </c>
      <c r="K117" s="939">
        <v>459401702</v>
      </c>
      <c r="L117" s="1047">
        <f t="shared" ref="L117:L129" si="4">G117/E117%</f>
        <v>49.152184736483022</v>
      </c>
      <c r="M117" s="994"/>
      <c r="N117" s="995">
        <f>E55+E135-E147</f>
        <v>340014873.94999981</v>
      </c>
      <c r="O117" s="995">
        <f>F55+F135-F147</f>
        <v>-18661585</v>
      </c>
      <c r="P117" s="995">
        <f>I55+I135-I147</f>
        <v>145381175</v>
      </c>
      <c r="Q117" s="995">
        <f>J55+J135-J147</f>
        <v>239998325</v>
      </c>
      <c r="R117" s="1106">
        <f>K55+K135-K147</f>
        <v>459401702</v>
      </c>
      <c r="S117" s="1106"/>
      <c r="T117" s="1107"/>
      <c r="U117" s="1107"/>
      <c r="V117" s="1107"/>
      <c r="W117" s="1107"/>
      <c r="X117" s="1107"/>
      <c r="Y117" s="1107"/>
      <c r="Z117" s="1107"/>
      <c r="AA117" s="1107"/>
      <c r="AB117" s="1107"/>
      <c r="AC117" s="1107"/>
      <c r="AD117" s="1107"/>
      <c r="AE117" s="1107"/>
      <c r="AF117" s="1107"/>
      <c r="AG117" s="1107"/>
      <c r="AH117" s="1107"/>
      <c r="AI117" s="1107"/>
      <c r="AJ117" s="1107"/>
      <c r="AK117" s="1107"/>
      <c r="AL117" s="1107"/>
      <c r="AM117" s="1107"/>
      <c r="AN117" s="1041"/>
      <c r="AO117" s="1041"/>
    </row>
    <row r="118" spans="1:41" s="1042" customFormat="1">
      <c r="A118" s="374">
        <v>2</v>
      </c>
      <c r="B118" s="1033" t="s">
        <v>86</v>
      </c>
      <c r="C118" s="376" t="s">
        <v>81</v>
      </c>
      <c r="D118" s="377">
        <f>'Pl 2016-20 PFC'!D336</f>
        <v>808710000</v>
      </c>
      <c r="E118" s="939">
        <v>830552939</v>
      </c>
      <c r="F118" s="939">
        <v>813040530.29999995</v>
      </c>
      <c r="G118" s="939">
        <v>813040530</v>
      </c>
      <c r="H118" s="939">
        <v>-0.29999995231628418</v>
      </c>
      <c r="I118" s="939">
        <v>802194091.78999996</v>
      </c>
      <c r="J118" s="939">
        <v>801980858</v>
      </c>
      <c r="K118" s="939">
        <v>801815225</v>
      </c>
      <c r="L118" s="1047">
        <f t="shared" si="4"/>
        <v>97.891475885801427</v>
      </c>
      <c r="M118" s="994"/>
      <c r="N118" s="995">
        <f>N117-100</f>
        <v>340014773.94999981</v>
      </c>
      <c r="O118" s="995">
        <f>O117-100</f>
        <v>-18661685</v>
      </c>
      <c r="P118" s="995">
        <f>P117-100</f>
        <v>145381075</v>
      </c>
      <c r="Q118" s="995">
        <f>Q117-100</f>
        <v>239998225</v>
      </c>
      <c r="R118" s="1106">
        <f>R117-100</f>
        <v>459401602</v>
      </c>
      <c r="S118" s="1107"/>
      <c r="T118" s="1107"/>
      <c r="U118" s="1107"/>
      <c r="V118" s="1107"/>
      <c r="W118" s="1107"/>
      <c r="X118" s="1107"/>
      <c r="Y118" s="1107"/>
      <c r="Z118" s="1107"/>
      <c r="AA118" s="1107"/>
      <c r="AB118" s="1107"/>
      <c r="AC118" s="1107"/>
      <c r="AD118" s="1107"/>
      <c r="AE118" s="1107"/>
      <c r="AF118" s="1107"/>
      <c r="AG118" s="1107"/>
      <c r="AH118" s="1107"/>
      <c r="AI118" s="1107"/>
      <c r="AJ118" s="1107"/>
      <c r="AK118" s="1107"/>
      <c r="AL118" s="1107"/>
      <c r="AM118" s="1107"/>
      <c r="AN118" s="1041"/>
      <c r="AO118" s="1041"/>
    </row>
    <row r="119" spans="1:41" s="1042" customFormat="1" ht="15.75" customHeight="1">
      <c r="A119" s="374" t="s">
        <v>20</v>
      </c>
      <c r="B119" s="1033" t="s">
        <v>445</v>
      </c>
      <c r="C119" s="376" t="s">
        <v>81</v>
      </c>
      <c r="D119" s="377">
        <f>'Pl 2016-20 PFC'!D337</f>
        <v>610000000</v>
      </c>
      <c r="E119" s="939">
        <v>550000000</v>
      </c>
      <c r="F119" s="939">
        <v>530000000</v>
      </c>
      <c r="G119" s="939">
        <v>530000000</v>
      </c>
      <c r="H119" s="939">
        <v>0</v>
      </c>
      <c r="I119" s="939">
        <v>530000000</v>
      </c>
      <c r="J119" s="939">
        <v>530000000</v>
      </c>
      <c r="K119" s="939">
        <v>530000000</v>
      </c>
      <c r="L119" s="1047">
        <f t="shared" si="4"/>
        <v>96.36363636363636</v>
      </c>
      <c r="M119" s="994"/>
      <c r="N119" s="995">
        <f>N118-E197</f>
        <v>98773.949999809265</v>
      </c>
      <c r="O119" s="995">
        <f>O118-F197</f>
        <v>-18661685</v>
      </c>
      <c r="P119" s="995">
        <f>P118-I197</f>
        <v>145381075</v>
      </c>
      <c r="Q119" s="995">
        <f>Q118-J197</f>
        <v>41670225</v>
      </c>
      <c r="R119" s="1106">
        <f>R118-K197</f>
        <v>99602</v>
      </c>
      <c r="S119" s="1107"/>
      <c r="T119" s="1107"/>
      <c r="U119" s="1107"/>
      <c r="V119" s="1107"/>
      <c r="W119" s="1107"/>
      <c r="X119" s="1107"/>
      <c r="Y119" s="1107"/>
      <c r="Z119" s="1107"/>
      <c r="AA119" s="1107"/>
      <c r="AB119" s="1107"/>
      <c r="AC119" s="1107"/>
      <c r="AD119" s="1107"/>
      <c r="AE119" s="1107"/>
      <c r="AF119" s="1107"/>
      <c r="AG119" s="1107"/>
      <c r="AH119" s="1107"/>
      <c r="AI119" s="1107"/>
      <c r="AJ119" s="1107"/>
      <c r="AK119" s="1107"/>
      <c r="AL119" s="1107"/>
      <c r="AM119" s="1107"/>
      <c r="AN119" s="1041"/>
      <c r="AO119" s="1041"/>
    </row>
    <row r="120" spans="1:41" s="1042" customFormat="1" ht="15.75" customHeight="1">
      <c r="A120" s="374" t="s">
        <v>189</v>
      </c>
      <c r="B120" s="1033" t="s">
        <v>446</v>
      </c>
      <c r="C120" s="376" t="s">
        <v>81</v>
      </c>
      <c r="D120" s="377">
        <f>'Pl 2016-20 PFC'!D338</f>
        <v>5637000</v>
      </c>
      <c r="E120" s="939">
        <v>3345790</v>
      </c>
      <c r="F120" s="939">
        <v>3301804.06</v>
      </c>
      <c r="G120" s="939">
        <v>3301804</v>
      </c>
      <c r="H120" s="939">
        <v>-6.0000000055879354E-2</v>
      </c>
      <c r="I120" s="939">
        <v>3366365.55</v>
      </c>
      <c r="J120" s="939">
        <v>3286332</v>
      </c>
      <c r="K120" s="939">
        <v>3264399</v>
      </c>
      <c r="L120" s="1047">
        <f t="shared" si="4"/>
        <v>98.685332910911924</v>
      </c>
      <c r="M120" s="994"/>
      <c r="N120" s="995"/>
      <c r="O120" s="995"/>
      <c r="P120" s="995"/>
      <c r="Q120" s="995"/>
      <c r="R120" s="1106"/>
      <c r="S120" s="1107"/>
      <c r="T120" s="1107"/>
      <c r="U120" s="1107"/>
      <c r="V120" s="1107"/>
      <c r="W120" s="1107"/>
      <c r="X120" s="1107"/>
      <c r="Y120" s="1107"/>
      <c r="Z120" s="1107"/>
      <c r="AA120" s="1107"/>
      <c r="AB120" s="1107"/>
      <c r="AC120" s="1107"/>
      <c r="AD120" s="1107"/>
      <c r="AE120" s="1107"/>
      <c r="AF120" s="1107"/>
      <c r="AG120" s="1107"/>
      <c r="AH120" s="1107"/>
      <c r="AI120" s="1107"/>
      <c r="AJ120" s="1107"/>
      <c r="AK120" s="1107"/>
      <c r="AL120" s="1107"/>
      <c r="AM120" s="1107"/>
      <c r="AN120" s="1041"/>
      <c r="AO120" s="1041"/>
    </row>
    <row r="121" spans="1:41" s="1042" customFormat="1">
      <c r="A121" s="374">
        <v>3</v>
      </c>
      <c r="B121" s="1033" t="s">
        <v>354</v>
      </c>
      <c r="C121" s="376" t="s">
        <v>81</v>
      </c>
      <c r="D121" s="377">
        <f>'Pl 2016-20 PFC'!D339</f>
        <v>-68813000</v>
      </c>
      <c r="E121" s="939">
        <v>-58345552</v>
      </c>
      <c r="F121" s="939">
        <v>-55132004.060000002</v>
      </c>
      <c r="G121" s="939">
        <v>-55132004</v>
      </c>
      <c r="H121" s="939">
        <v>6.0000002384185791E-2</v>
      </c>
      <c r="I121" s="939">
        <v>-52022120.549999997</v>
      </c>
      <c r="J121" s="939">
        <v>-51652667</v>
      </c>
      <c r="K121" s="939">
        <v>-51320324</v>
      </c>
      <c r="L121" s="1047">
        <f t="shared" si="4"/>
        <v>94.492214247968718</v>
      </c>
      <c r="M121" s="994"/>
      <c r="N121" s="994"/>
      <c r="O121" s="994"/>
      <c r="P121" s="994"/>
      <c r="Q121" s="994"/>
      <c r="R121" s="1107"/>
      <c r="S121" s="1107"/>
      <c r="T121" s="1107"/>
      <c r="U121" s="1107"/>
      <c r="V121" s="1107"/>
      <c r="W121" s="1107"/>
      <c r="X121" s="1107"/>
      <c r="Y121" s="1107"/>
      <c r="Z121" s="1107"/>
      <c r="AA121" s="1107"/>
      <c r="AB121" s="1107"/>
      <c r="AC121" s="1107"/>
      <c r="AD121" s="1107"/>
      <c r="AE121" s="1107"/>
      <c r="AF121" s="1107"/>
      <c r="AG121" s="1107"/>
      <c r="AH121" s="1107"/>
      <c r="AI121" s="1107"/>
      <c r="AJ121" s="1107"/>
      <c r="AK121" s="1107"/>
      <c r="AL121" s="1107"/>
      <c r="AM121" s="1107"/>
      <c r="AN121" s="1041"/>
      <c r="AO121" s="1041"/>
    </row>
    <row r="122" spans="1:41" s="1042" customFormat="1">
      <c r="A122" s="382" t="s">
        <v>355</v>
      </c>
      <c r="B122" s="1033" t="str">
        <f>+'Pl 2016-20 PFC'!B340</f>
        <v>pozostałe:</v>
      </c>
      <c r="C122" s="376" t="s">
        <v>81</v>
      </c>
      <c r="D122" s="377">
        <f>'Pl 2016-20 PFC'!D340</f>
        <v>-68813000</v>
      </c>
      <c r="E122" s="939">
        <v>-58345552</v>
      </c>
      <c r="F122" s="939">
        <v>-55132004.060000002</v>
      </c>
      <c r="G122" s="939">
        <v>-55132004</v>
      </c>
      <c r="H122" s="939">
        <v>6.0000002384185791E-2</v>
      </c>
      <c r="I122" s="939">
        <v>-52022120.549999997</v>
      </c>
      <c r="J122" s="939">
        <v>-51652667</v>
      </c>
      <c r="K122" s="939">
        <v>-51320324</v>
      </c>
      <c r="L122" s="1047">
        <f t="shared" si="4"/>
        <v>94.492214247968718</v>
      </c>
      <c r="M122" s="994"/>
      <c r="N122" s="994"/>
      <c r="O122" s="994"/>
      <c r="P122" s="994"/>
      <c r="Q122" s="994"/>
      <c r="R122" s="1107"/>
      <c r="S122" s="1107"/>
      <c r="T122" s="1107"/>
      <c r="U122" s="1107"/>
      <c r="V122" s="1107"/>
      <c r="W122" s="1107"/>
      <c r="X122" s="1107"/>
      <c r="Y122" s="1107"/>
      <c r="Z122" s="1107"/>
      <c r="AA122" s="1107"/>
      <c r="AB122" s="1107"/>
      <c r="AC122" s="1107"/>
      <c r="AD122" s="1107"/>
      <c r="AE122" s="1107"/>
      <c r="AF122" s="1107"/>
      <c r="AG122" s="1107"/>
      <c r="AH122" s="1107"/>
      <c r="AI122" s="1107"/>
      <c r="AJ122" s="1107"/>
      <c r="AK122" s="1107"/>
      <c r="AL122" s="1107"/>
      <c r="AM122" s="1107"/>
      <c r="AN122" s="1041"/>
      <c r="AO122" s="1041"/>
    </row>
    <row r="123" spans="1:41" s="1042" customFormat="1">
      <c r="A123" s="382" t="s">
        <v>356</v>
      </c>
      <c r="B123" s="1033" t="s">
        <v>95</v>
      </c>
      <c r="C123" s="376" t="s">
        <v>81</v>
      </c>
      <c r="D123" s="377"/>
      <c r="E123" s="939"/>
      <c r="F123" s="939"/>
      <c r="G123" s="939"/>
      <c r="H123" s="939"/>
      <c r="I123" s="939"/>
      <c r="J123" s="939"/>
      <c r="K123" s="939"/>
      <c r="L123" s="1047"/>
      <c r="M123" s="994"/>
      <c r="N123" s="994"/>
      <c r="O123" s="994"/>
      <c r="P123" s="994"/>
      <c r="Q123" s="994"/>
      <c r="R123" s="1107"/>
      <c r="S123" s="1107"/>
      <c r="T123" s="1107"/>
      <c r="U123" s="1107"/>
      <c r="V123" s="1107"/>
      <c r="W123" s="1107"/>
      <c r="X123" s="1107"/>
      <c r="Y123" s="1107"/>
      <c r="Z123" s="1107"/>
      <c r="AA123" s="1107"/>
      <c r="AB123" s="1107"/>
      <c r="AC123" s="1107"/>
      <c r="AD123" s="1107"/>
      <c r="AE123" s="1107"/>
      <c r="AF123" s="1107"/>
      <c r="AG123" s="1107"/>
      <c r="AH123" s="1107"/>
      <c r="AI123" s="1107"/>
      <c r="AJ123" s="1107"/>
      <c r="AK123" s="1107"/>
      <c r="AL123" s="1107"/>
      <c r="AM123" s="1107"/>
      <c r="AN123" s="1041"/>
      <c r="AO123" s="1041"/>
    </row>
    <row r="124" spans="1:41" s="1042" customFormat="1">
      <c r="A124" s="382" t="s">
        <v>24</v>
      </c>
      <c r="B124" s="1033" t="s">
        <v>96</v>
      </c>
      <c r="C124" s="376" t="s">
        <v>81</v>
      </c>
      <c r="D124" s="377">
        <f>'Pl 2016-20 PFC'!D343</f>
        <v>46252000</v>
      </c>
      <c r="E124" s="939">
        <v>25809042</v>
      </c>
      <c r="F124" s="939">
        <v>35906341.670000002</v>
      </c>
      <c r="G124" s="939">
        <v>35906342</v>
      </c>
      <c r="H124" s="939">
        <v>0.32999999821186066</v>
      </c>
      <c r="I124" s="939">
        <v>29269500</v>
      </c>
      <c r="J124" s="939">
        <v>23653900</v>
      </c>
      <c r="K124" s="939">
        <v>19553300</v>
      </c>
      <c r="L124" s="1047">
        <f t="shared" si="4"/>
        <v>139.12311041998382</v>
      </c>
      <c r="M124" s="994"/>
      <c r="N124" s="994"/>
      <c r="O124" s="994"/>
      <c r="P124" s="994"/>
      <c r="Q124" s="994"/>
      <c r="R124" s="1107"/>
      <c r="S124" s="1107"/>
      <c r="T124" s="1107"/>
      <c r="U124" s="1107"/>
      <c r="V124" s="1107"/>
      <c r="W124" s="1107"/>
      <c r="X124" s="1107"/>
      <c r="Y124" s="1107"/>
      <c r="Z124" s="1107"/>
      <c r="AA124" s="1107"/>
      <c r="AB124" s="1107"/>
      <c r="AC124" s="1107"/>
      <c r="AD124" s="1107"/>
      <c r="AE124" s="1107"/>
      <c r="AF124" s="1107"/>
      <c r="AG124" s="1107"/>
      <c r="AH124" s="1107"/>
      <c r="AI124" s="1107"/>
      <c r="AJ124" s="1107"/>
      <c r="AK124" s="1107"/>
      <c r="AL124" s="1107"/>
      <c r="AM124" s="1107"/>
      <c r="AN124" s="1041"/>
      <c r="AO124" s="1041"/>
    </row>
    <row r="125" spans="1:41" s="1042" customFormat="1">
      <c r="A125" s="382" t="s">
        <v>25</v>
      </c>
      <c r="B125" s="1033" t="s">
        <v>97</v>
      </c>
      <c r="C125" s="376" t="s">
        <v>81</v>
      </c>
      <c r="D125" s="377">
        <f>'Pl 2016-20 PFC'!D344</f>
        <v>30500000</v>
      </c>
      <c r="E125" s="939">
        <v>45361598</v>
      </c>
      <c r="F125" s="939">
        <v>44982154.630000003</v>
      </c>
      <c r="G125" s="939">
        <v>44982155</v>
      </c>
      <c r="H125" s="939">
        <v>0.36999999731779099</v>
      </c>
      <c r="I125" s="939">
        <v>41679621.689999998</v>
      </c>
      <c r="J125" s="939">
        <v>33019915</v>
      </c>
      <c r="K125" s="939">
        <v>25477887</v>
      </c>
      <c r="L125" s="1047">
        <f t="shared" si="4"/>
        <v>99.163514918500013</v>
      </c>
      <c r="M125" s="994"/>
      <c r="N125" s="994"/>
      <c r="O125" s="994"/>
      <c r="P125" s="994"/>
      <c r="Q125" s="994"/>
      <c r="R125" s="1107"/>
      <c r="S125" s="1107"/>
      <c r="T125" s="1107"/>
      <c r="U125" s="1107"/>
      <c r="V125" s="1107"/>
      <c r="W125" s="1107"/>
      <c r="X125" s="1107"/>
      <c r="Y125" s="1107"/>
      <c r="Z125" s="1107"/>
      <c r="AA125" s="1107"/>
      <c r="AB125" s="1107"/>
      <c r="AC125" s="1107"/>
      <c r="AD125" s="1107"/>
      <c r="AE125" s="1107"/>
      <c r="AF125" s="1107"/>
      <c r="AG125" s="1107"/>
      <c r="AH125" s="1107"/>
      <c r="AI125" s="1107"/>
      <c r="AJ125" s="1107"/>
      <c r="AK125" s="1107"/>
      <c r="AL125" s="1107"/>
      <c r="AM125" s="1107"/>
      <c r="AN125" s="1041"/>
      <c r="AO125" s="1041"/>
    </row>
    <row r="126" spans="1:41" s="1042" customFormat="1">
      <c r="A126" s="382" t="s">
        <v>29</v>
      </c>
      <c r="B126" s="1033" t="s">
        <v>98</v>
      </c>
      <c r="C126" s="376" t="s">
        <v>81</v>
      </c>
      <c r="D126" s="377">
        <f>'Pl 2016-20 PFC'!D345</f>
        <v>-1600000</v>
      </c>
      <c r="E126" s="939">
        <v>-1450000</v>
      </c>
      <c r="F126" s="939">
        <v>-1530000</v>
      </c>
      <c r="G126" s="939">
        <v>-1530000</v>
      </c>
      <c r="H126" s="939">
        <v>0</v>
      </c>
      <c r="I126" s="939">
        <v>-1530000</v>
      </c>
      <c r="J126" s="939">
        <v>-1430000</v>
      </c>
      <c r="K126" s="939">
        <v>-1430000</v>
      </c>
      <c r="L126" s="1047">
        <f t="shared" si="4"/>
        <v>105.51724137931035</v>
      </c>
      <c r="M126" s="994"/>
      <c r="N126" s="994"/>
      <c r="O126" s="994"/>
      <c r="P126" s="994"/>
      <c r="Q126" s="994"/>
      <c r="R126" s="1107"/>
      <c r="S126" s="1107"/>
      <c r="T126" s="1107"/>
      <c r="U126" s="1107"/>
      <c r="V126" s="1107"/>
      <c r="W126" s="1107"/>
      <c r="X126" s="1107"/>
      <c r="Y126" s="1107"/>
      <c r="Z126" s="1107"/>
      <c r="AA126" s="1107"/>
      <c r="AB126" s="1107"/>
      <c r="AC126" s="1107"/>
      <c r="AD126" s="1107"/>
      <c r="AE126" s="1107"/>
      <c r="AF126" s="1107"/>
      <c r="AG126" s="1107"/>
      <c r="AH126" s="1107"/>
      <c r="AI126" s="1107"/>
      <c r="AJ126" s="1107"/>
      <c r="AK126" s="1107"/>
      <c r="AL126" s="1107"/>
      <c r="AM126" s="1107"/>
      <c r="AN126" s="1041"/>
      <c r="AO126" s="1041"/>
    </row>
    <row r="127" spans="1:41" s="1042" customFormat="1">
      <c r="A127" s="382" t="s">
        <v>31</v>
      </c>
      <c r="B127" s="1033" t="s">
        <v>99</v>
      </c>
      <c r="C127" s="376" t="s">
        <v>81</v>
      </c>
      <c r="D127" s="377">
        <f>'Pl 2016-20 PFC'!D346</f>
        <v>0</v>
      </c>
      <c r="E127" s="939"/>
      <c r="F127" s="939"/>
      <c r="G127" s="939"/>
      <c r="H127" s="939"/>
      <c r="I127" s="939"/>
      <c r="J127" s="939"/>
      <c r="K127" s="939"/>
      <c r="L127" s="1047"/>
      <c r="M127" s="994"/>
      <c r="N127" s="994"/>
      <c r="O127" s="994"/>
      <c r="P127" s="994"/>
      <c r="Q127" s="994"/>
      <c r="R127" s="1107"/>
      <c r="S127" s="1107"/>
      <c r="T127" s="1107"/>
      <c r="U127" s="1107"/>
      <c r="V127" s="1107"/>
      <c r="W127" s="1107"/>
      <c r="X127" s="1107"/>
      <c r="Y127" s="1107"/>
      <c r="Z127" s="1107"/>
      <c r="AA127" s="1107"/>
      <c r="AB127" s="1107"/>
      <c r="AC127" s="1107"/>
      <c r="AD127" s="1107"/>
      <c r="AE127" s="1107"/>
      <c r="AF127" s="1107"/>
      <c r="AG127" s="1107"/>
      <c r="AH127" s="1107"/>
      <c r="AI127" s="1107"/>
      <c r="AJ127" s="1107"/>
      <c r="AK127" s="1107"/>
      <c r="AL127" s="1107"/>
      <c r="AM127" s="1107"/>
      <c r="AN127" s="1041"/>
      <c r="AO127" s="1041"/>
    </row>
    <row r="128" spans="1:41" s="1042" customFormat="1">
      <c r="A128" s="382" t="s">
        <v>35</v>
      </c>
      <c r="B128" s="1033" t="s">
        <v>100</v>
      </c>
      <c r="C128" s="376" t="s">
        <v>81</v>
      </c>
      <c r="D128" s="377">
        <f>'Pl 2016-20 PFC'!D347</f>
        <v>-850585000</v>
      </c>
      <c r="E128" s="939">
        <v>-884394505</v>
      </c>
      <c r="F128" s="939">
        <v>-957455777.23000002</v>
      </c>
      <c r="G128" s="939">
        <v>-915972760</v>
      </c>
      <c r="H128" s="939">
        <v>41483017.230000019</v>
      </c>
      <c r="I128" s="939">
        <v>-934388811.92999995</v>
      </c>
      <c r="J128" s="939">
        <v>-964079339</v>
      </c>
      <c r="K128" s="939">
        <v>-1004099257</v>
      </c>
      <c r="L128" s="1047">
        <f t="shared" si="4"/>
        <v>103.57060732755231</v>
      </c>
      <c r="M128" s="994"/>
      <c r="N128" s="994"/>
      <c r="O128" s="994"/>
      <c r="P128" s="994"/>
      <c r="Q128" s="994"/>
      <c r="R128" s="1107"/>
      <c r="S128" s="1107"/>
      <c r="T128" s="1107"/>
      <c r="U128" s="1107"/>
      <c r="V128" s="1107"/>
      <c r="W128" s="1107"/>
      <c r="X128" s="1107"/>
      <c r="Y128" s="1107"/>
      <c r="Z128" s="1107"/>
      <c r="AA128" s="1107"/>
      <c r="AB128" s="1107"/>
      <c r="AC128" s="1107"/>
      <c r="AD128" s="1107"/>
      <c r="AE128" s="1107"/>
      <c r="AF128" s="1107"/>
      <c r="AG128" s="1107"/>
      <c r="AH128" s="1107"/>
      <c r="AI128" s="1107"/>
      <c r="AJ128" s="1107"/>
      <c r="AK128" s="1107"/>
      <c r="AL128" s="1107"/>
      <c r="AM128" s="1107"/>
      <c r="AN128" s="1041"/>
      <c r="AO128" s="1041"/>
    </row>
    <row r="129" spans="1:41" s="1042" customFormat="1">
      <c r="A129" s="382" t="s">
        <v>38</v>
      </c>
      <c r="B129" s="1033" t="s">
        <v>101</v>
      </c>
      <c r="C129" s="376" t="s">
        <v>81</v>
      </c>
      <c r="D129" s="377">
        <f>'Pl 2016-20 PFC'!D348</f>
        <v>-3300000</v>
      </c>
      <c r="E129" s="939">
        <v>-3300000</v>
      </c>
      <c r="F129" s="939">
        <v>-3800000</v>
      </c>
      <c r="G129" s="939">
        <v>-3800000</v>
      </c>
      <c r="H129" s="939">
        <v>0</v>
      </c>
      <c r="I129" s="939">
        <v>-3800000</v>
      </c>
      <c r="J129" s="939">
        <v>-3800000</v>
      </c>
      <c r="K129" s="939">
        <v>-3800000</v>
      </c>
      <c r="L129" s="1047">
        <f t="shared" si="4"/>
        <v>115.15151515151516</v>
      </c>
      <c r="M129" s="994"/>
      <c r="N129" s="994"/>
      <c r="O129" s="994"/>
      <c r="P129" s="994"/>
      <c r="Q129" s="994"/>
      <c r="R129" s="1107"/>
      <c r="S129" s="1107"/>
      <c r="T129" s="1107"/>
      <c r="U129" s="1107"/>
      <c r="V129" s="1107"/>
      <c r="W129" s="1107"/>
      <c r="X129" s="1107"/>
      <c r="Y129" s="1107"/>
      <c r="Z129" s="1107"/>
      <c r="AA129" s="1107"/>
      <c r="AB129" s="1107"/>
      <c r="AC129" s="1107"/>
      <c r="AD129" s="1107"/>
      <c r="AE129" s="1107"/>
      <c r="AF129" s="1107"/>
      <c r="AG129" s="1107"/>
      <c r="AH129" s="1107"/>
      <c r="AI129" s="1107"/>
      <c r="AJ129" s="1107"/>
      <c r="AK129" s="1107"/>
      <c r="AL129" s="1107"/>
      <c r="AM129" s="1107"/>
      <c r="AN129" s="1041"/>
      <c r="AO129" s="1041"/>
    </row>
    <row r="130" spans="1:41" ht="16.2" thickBot="1">
      <c r="A130" s="1179"/>
      <c r="B130" s="1180"/>
      <c r="C130" s="1181"/>
      <c r="D130" s="1181"/>
      <c r="E130" s="1182"/>
      <c r="F130" s="1183"/>
      <c r="G130" s="1183"/>
      <c r="H130" s="1183"/>
      <c r="I130" s="1184"/>
      <c r="J130" s="1184"/>
      <c r="K130" s="1184"/>
      <c r="L130" s="1185"/>
      <c r="M130" s="986"/>
      <c r="N130" s="986"/>
      <c r="O130" s="986"/>
      <c r="P130" s="986"/>
      <c r="Q130" s="986"/>
    </row>
    <row r="131" spans="1:41" ht="18.600000000000001" thickBot="1">
      <c r="A131" s="1071" t="s">
        <v>447</v>
      </c>
      <c r="B131" s="1186"/>
      <c r="C131" s="1187"/>
      <c r="D131" s="840" t="e">
        <f>D115-D116</f>
        <v>#REF!</v>
      </c>
      <c r="E131" s="840"/>
      <c r="F131" s="840"/>
      <c r="G131" s="840"/>
      <c r="H131" s="840"/>
      <c r="I131" s="840"/>
      <c r="J131" s="840"/>
      <c r="K131" s="840"/>
      <c r="L131" s="985"/>
      <c r="M131" s="986"/>
      <c r="N131" s="986"/>
      <c r="O131" s="986"/>
      <c r="P131" s="986"/>
      <c r="Q131" s="986"/>
    </row>
    <row r="132" spans="1:41" ht="63.75" customHeight="1" thickBot="1">
      <c r="A132" s="2237" t="s">
        <v>7</v>
      </c>
      <c r="B132" s="2238" t="s">
        <v>8</v>
      </c>
      <c r="C132" s="2239" t="s">
        <v>79</v>
      </c>
      <c r="D132" s="1188"/>
      <c r="E132" s="1189" t="str">
        <f>E49</f>
        <v>Przewidywane 
wykonanie 
w 2015</v>
      </c>
      <c r="F132" s="1189" t="str">
        <f t="shared" ref="F132:L132" si="5">F49</f>
        <v>Projekt planu 
na 2016 r.</v>
      </c>
      <c r="G132" s="1189" t="str">
        <f t="shared" si="5"/>
        <v>Plan wg Ustawy Budżetowej 
na 2016 r.</v>
      </c>
      <c r="H132" s="1189" t="str">
        <f t="shared" si="5"/>
        <v>różnice</v>
      </c>
      <c r="I132" s="1189" t="str">
        <f t="shared" si="5"/>
        <v xml:space="preserve">Zmiany  </v>
      </c>
      <c r="J132" s="1189" t="str">
        <f t="shared" si="5"/>
        <v xml:space="preserve">Plan 
po zmianach </v>
      </c>
      <c r="K132" s="1189" t="e">
        <f t="shared" si="5"/>
        <v>#REF!</v>
      </c>
      <c r="L132" s="1190" t="str">
        <f t="shared" si="5"/>
        <v>%</v>
      </c>
      <c r="M132" s="986"/>
      <c r="N132" s="986"/>
      <c r="O132" s="986"/>
      <c r="P132" s="986"/>
      <c r="Q132" s="986"/>
    </row>
    <row r="133" spans="1:41" ht="16.5" customHeight="1" thickBot="1">
      <c r="A133" s="2237"/>
      <c r="B133" s="2238"/>
      <c r="C133" s="2239"/>
      <c r="D133" s="1073"/>
      <c r="E133" s="2236" t="str">
        <f>E50</f>
        <v>w tysiącach złotych</v>
      </c>
      <c r="F133" s="2236"/>
      <c r="G133" s="2236"/>
      <c r="H133" s="2236"/>
      <c r="I133" s="2236"/>
      <c r="J133" s="2236"/>
      <c r="K133" s="2236"/>
      <c r="L133" s="987"/>
      <c r="M133" s="986"/>
      <c r="N133" s="986"/>
      <c r="O133" s="986"/>
      <c r="P133" s="986"/>
      <c r="Q133" s="986"/>
    </row>
    <row r="134" spans="1:41" ht="16.2" thickBot="1">
      <c r="A134" s="1191">
        <v>1</v>
      </c>
      <c r="B134" s="1192">
        <v>2</v>
      </c>
      <c r="C134" s="1193" t="s">
        <v>639</v>
      </c>
      <c r="D134" s="1193"/>
      <c r="E134" s="1194">
        <v>4</v>
      </c>
      <c r="F134" s="1195"/>
      <c r="G134" s="1195">
        <v>5</v>
      </c>
      <c r="H134" s="1195"/>
      <c r="I134" s="1195">
        <v>6</v>
      </c>
      <c r="J134" s="1195">
        <v>7</v>
      </c>
      <c r="K134" s="1195">
        <v>8</v>
      </c>
      <c r="L134" s="987"/>
      <c r="M134" s="986"/>
      <c r="N134" s="986"/>
      <c r="O134" s="986"/>
      <c r="P134" s="986"/>
      <c r="Q134" s="986"/>
    </row>
    <row r="135" spans="1:41" s="1203" customFormat="1">
      <c r="A135" s="1196" t="s">
        <v>515</v>
      </c>
      <c r="B135" s="1197" t="s">
        <v>305</v>
      </c>
      <c r="C135" s="1198" t="s">
        <v>81</v>
      </c>
      <c r="D135" s="1199">
        <f>SUM(D137,D141,D142,D143,D144)</f>
        <v>793591000</v>
      </c>
      <c r="E135" s="1200">
        <v>4512537171.75</v>
      </c>
      <c r="F135" s="1200">
        <v>4509226767</v>
      </c>
      <c r="G135" s="1200">
        <v>4495756365</v>
      </c>
      <c r="H135" s="1200">
        <v>13470402</v>
      </c>
      <c r="I135" s="1200">
        <v>4602153936</v>
      </c>
      <c r="J135" s="1200">
        <v>4769192650</v>
      </c>
      <c r="K135" s="1200">
        <v>4923670877</v>
      </c>
      <c r="L135" s="1201">
        <f t="shared" ref="L135:L178" si="6">G135/E135%</f>
        <v>99.628129229493027</v>
      </c>
      <c r="M135" s="1006"/>
      <c r="N135" s="1006"/>
      <c r="O135" s="1006"/>
      <c r="P135" s="1006"/>
      <c r="Q135" s="1006"/>
      <c r="R135" s="1202"/>
      <c r="S135" s="1202"/>
      <c r="T135" s="1202"/>
      <c r="U135" s="1202"/>
      <c r="V135" s="1202"/>
      <c r="W135" s="1202"/>
      <c r="X135" s="1202"/>
      <c r="Y135" s="1202"/>
      <c r="Z135" s="1202"/>
      <c r="AA135" s="1202"/>
      <c r="AB135" s="1202"/>
      <c r="AC135" s="1202"/>
      <c r="AD135" s="1202"/>
      <c r="AE135" s="1202"/>
      <c r="AF135" s="1202"/>
      <c r="AG135" s="1202"/>
      <c r="AH135" s="1202"/>
      <c r="AI135" s="1202"/>
      <c r="AJ135" s="1202"/>
      <c r="AK135" s="1202"/>
      <c r="AL135" s="1202"/>
      <c r="AM135" s="1202"/>
      <c r="AN135" s="1202"/>
      <c r="AO135" s="1202"/>
    </row>
    <row r="136" spans="1:41" s="1213" customFormat="1" ht="9.9" customHeight="1">
      <c r="A136" s="1204"/>
      <c r="B136" s="1205"/>
      <c r="C136" s="1206"/>
      <c r="D136" s="1207"/>
      <c r="E136" s="1208"/>
      <c r="F136" s="1209"/>
      <c r="G136" s="1209"/>
      <c r="H136" s="1209"/>
      <c r="I136" s="1209"/>
      <c r="J136" s="1209"/>
      <c r="K136" s="1209"/>
      <c r="L136" s="1210"/>
      <c r="M136" s="1008"/>
      <c r="N136" s="1008"/>
      <c r="O136" s="1008"/>
      <c r="P136" s="1008"/>
      <c r="Q136" s="1008"/>
      <c r="R136" s="1211"/>
      <c r="S136" s="1211"/>
      <c r="T136" s="1211"/>
      <c r="U136" s="1211"/>
      <c r="V136" s="1211"/>
      <c r="W136" s="1211"/>
      <c r="X136" s="1211"/>
      <c r="Y136" s="1211"/>
      <c r="Z136" s="1211"/>
      <c r="AA136" s="1211"/>
      <c r="AB136" s="1211"/>
      <c r="AC136" s="1211"/>
      <c r="AD136" s="1211"/>
      <c r="AE136" s="1211"/>
      <c r="AF136" s="1211"/>
      <c r="AG136" s="1211"/>
      <c r="AH136" s="1211"/>
      <c r="AI136" s="1211"/>
      <c r="AJ136" s="1211"/>
      <c r="AK136" s="1211"/>
      <c r="AL136" s="1211"/>
      <c r="AM136" s="1211"/>
      <c r="AN136" s="1212"/>
      <c r="AO136" s="1212"/>
    </row>
    <row r="137" spans="1:41" s="1217" customFormat="1">
      <c r="A137" s="779" t="s">
        <v>322</v>
      </c>
      <c r="B137" s="1214" t="s">
        <v>358</v>
      </c>
      <c r="C137" s="1215" t="s">
        <v>81</v>
      </c>
      <c r="D137" s="394">
        <f>'Pl 2016-20 PFC'!D353</f>
        <v>745360000</v>
      </c>
      <c r="E137" s="950">
        <v>743360000</v>
      </c>
      <c r="F137" s="950">
        <v>745360000</v>
      </c>
      <c r="G137" s="950">
        <v>745360000</v>
      </c>
      <c r="H137" s="950">
        <v>0</v>
      </c>
      <c r="I137" s="950">
        <v>745360000</v>
      </c>
      <c r="J137" s="950">
        <v>745360000</v>
      </c>
      <c r="K137" s="950">
        <v>745360000</v>
      </c>
      <c r="L137" s="1049">
        <f t="shared" si="6"/>
        <v>100.26904864399484</v>
      </c>
      <c r="M137" s="1010"/>
      <c r="N137" s="1010"/>
      <c r="O137" s="1010"/>
      <c r="P137" s="1010"/>
      <c r="Q137" s="1010"/>
      <c r="R137" s="1216"/>
      <c r="S137" s="1216"/>
      <c r="T137" s="1216"/>
      <c r="U137" s="1216"/>
      <c r="V137" s="1216"/>
      <c r="W137" s="1216"/>
      <c r="X137" s="1216"/>
      <c r="Y137" s="1216"/>
      <c r="Z137" s="1216"/>
      <c r="AA137" s="1216"/>
      <c r="AB137" s="1216"/>
      <c r="AC137" s="1216"/>
      <c r="AD137" s="1216"/>
      <c r="AE137" s="1216"/>
      <c r="AF137" s="1216"/>
      <c r="AG137" s="1216"/>
      <c r="AH137" s="1216"/>
      <c r="AI137" s="1216"/>
      <c r="AJ137" s="1216"/>
      <c r="AK137" s="1216"/>
      <c r="AL137" s="1216"/>
      <c r="AM137" s="1216"/>
      <c r="AN137" s="1216"/>
      <c r="AO137" s="1216"/>
    </row>
    <row r="138" spans="1:41" s="1217" customFormat="1">
      <c r="A138" s="779" t="s">
        <v>16</v>
      </c>
      <c r="B138" s="1214" t="s">
        <v>359</v>
      </c>
      <c r="C138" s="1215" t="s">
        <v>108</v>
      </c>
      <c r="D138" s="394">
        <f>'Pl 2016-20 PFC'!D353</f>
        <v>745360000</v>
      </c>
      <c r="E138" s="950">
        <v>743360000</v>
      </c>
      <c r="F138" s="950">
        <v>745360000</v>
      </c>
      <c r="G138" s="950">
        <v>745360000</v>
      </c>
      <c r="H138" s="950">
        <v>0</v>
      </c>
      <c r="I138" s="950">
        <v>745360000</v>
      </c>
      <c r="J138" s="950">
        <v>745360000</v>
      </c>
      <c r="K138" s="950">
        <v>745360000</v>
      </c>
      <c r="L138" s="1049">
        <f t="shared" si="6"/>
        <v>100.26904864399484</v>
      </c>
      <c r="M138" s="1010"/>
      <c r="N138" s="1010"/>
      <c r="O138" s="1010"/>
      <c r="P138" s="1010"/>
      <c r="Q138" s="1010"/>
      <c r="R138" s="1216"/>
      <c r="S138" s="1216"/>
      <c r="T138" s="1216"/>
      <c r="U138" s="1216"/>
      <c r="V138" s="1216"/>
      <c r="W138" s="1216"/>
      <c r="X138" s="1216"/>
      <c r="Y138" s="1216"/>
      <c r="Z138" s="1216"/>
      <c r="AA138" s="1216"/>
      <c r="AB138" s="1216"/>
      <c r="AC138" s="1216"/>
      <c r="AD138" s="1216"/>
      <c r="AE138" s="1216"/>
      <c r="AF138" s="1216"/>
      <c r="AG138" s="1216"/>
      <c r="AH138" s="1216"/>
      <c r="AI138" s="1216"/>
      <c r="AJ138" s="1216"/>
      <c r="AK138" s="1216"/>
      <c r="AL138" s="1216"/>
      <c r="AM138" s="1216"/>
      <c r="AN138" s="1216"/>
      <c r="AO138" s="1216"/>
    </row>
    <row r="139" spans="1:41" s="1217" customFormat="1" ht="31.2">
      <c r="A139" s="1218" t="s">
        <v>144</v>
      </c>
      <c r="B139" s="1214" t="s">
        <v>660</v>
      </c>
      <c r="C139" s="1219" t="s">
        <v>108</v>
      </c>
      <c r="D139" s="1220">
        <f>'Pl 2016-20 PFC'!D355</f>
        <v>30000000</v>
      </c>
      <c r="E139" s="1221">
        <v>28000000</v>
      </c>
      <c r="F139" s="1221">
        <v>28500000</v>
      </c>
      <c r="G139" s="1221">
        <v>28500000</v>
      </c>
      <c r="H139" s="1221">
        <v>0</v>
      </c>
      <c r="I139" s="1221">
        <v>29000000</v>
      </c>
      <c r="J139" s="1221">
        <v>29500000</v>
      </c>
      <c r="K139" s="1221">
        <v>30000000</v>
      </c>
      <c r="L139" s="1222">
        <f t="shared" si="6"/>
        <v>101.78571428571429</v>
      </c>
      <c r="M139" s="1010"/>
      <c r="N139" s="1010"/>
      <c r="O139" s="1010"/>
      <c r="P139" s="1010"/>
      <c r="Q139" s="1010"/>
      <c r="R139" s="1216"/>
      <c r="S139" s="1216"/>
      <c r="T139" s="1216"/>
      <c r="U139" s="1216"/>
      <c r="V139" s="1216"/>
      <c r="W139" s="1216"/>
      <c r="X139" s="1216"/>
      <c r="Y139" s="1216"/>
      <c r="Z139" s="1216"/>
      <c r="AA139" s="1216"/>
      <c r="AB139" s="1216"/>
      <c r="AC139" s="1216"/>
      <c r="AD139" s="1216"/>
      <c r="AE139" s="1216"/>
      <c r="AF139" s="1216"/>
      <c r="AG139" s="1216"/>
      <c r="AH139" s="1216"/>
      <c r="AI139" s="1216"/>
      <c r="AJ139" s="1216"/>
      <c r="AK139" s="1216"/>
      <c r="AL139" s="1216"/>
      <c r="AM139" s="1216"/>
      <c r="AN139" s="1216"/>
      <c r="AO139" s="1216"/>
    </row>
    <row r="140" spans="1:41" s="1217" customFormat="1">
      <c r="A140" s="779" t="s">
        <v>147</v>
      </c>
      <c r="B140" s="1214" t="s">
        <v>659</v>
      </c>
      <c r="C140" s="1215" t="s">
        <v>108</v>
      </c>
      <c r="D140" s="394">
        <f>'Pl 2016-20 PFC'!D356</f>
        <v>715360000</v>
      </c>
      <c r="E140" s="950">
        <v>715360000</v>
      </c>
      <c r="F140" s="950">
        <v>716860000</v>
      </c>
      <c r="G140" s="950">
        <v>716860000</v>
      </c>
      <c r="H140" s="950">
        <v>0</v>
      </c>
      <c r="I140" s="950">
        <v>716360000</v>
      </c>
      <c r="J140" s="950">
        <v>715860000</v>
      </c>
      <c r="K140" s="950">
        <v>715360000</v>
      </c>
      <c r="L140" s="1049">
        <f t="shared" si="6"/>
        <v>100.20968463430999</v>
      </c>
      <c r="M140" s="1010"/>
      <c r="N140" s="1010"/>
      <c r="O140" s="1010"/>
      <c r="P140" s="1010"/>
      <c r="Q140" s="1010"/>
      <c r="R140" s="1216"/>
      <c r="S140" s="1216"/>
      <c r="T140" s="1216"/>
      <c r="U140" s="1216"/>
      <c r="V140" s="1216"/>
      <c r="W140" s="1216"/>
      <c r="X140" s="1216"/>
      <c r="Y140" s="1216"/>
      <c r="Z140" s="1216"/>
      <c r="AA140" s="1216"/>
      <c r="AB140" s="1216"/>
      <c r="AC140" s="1216"/>
      <c r="AD140" s="1216"/>
      <c r="AE140" s="1216"/>
      <c r="AF140" s="1216"/>
      <c r="AG140" s="1216"/>
      <c r="AH140" s="1216"/>
      <c r="AI140" s="1216"/>
      <c r="AJ140" s="1216"/>
      <c r="AK140" s="1216"/>
      <c r="AL140" s="1216"/>
      <c r="AM140" s="1216"/>
      <c r="AN140" s="1216"/>
      <c r="AO140" s="1216"/>
    </row>
    <row r="141" spans="1:41" s="1217" customFormat="1">
      <c r="A141" s="1218" t="s">
        <v>638</v>
      </c>
      <c r="B141" s="1214" t="s">
        <v>111</v>
      </c>
      <c r="C141" s="1215" t="s">
        <v>107</v>
      </c>
      <c r="D141" s="394">
        <f>'Pl 2016-20 PFC'!D359</f>
        <v>46900000</v>
      </c>
      <c r="E141" s="950">
        <v>46900000</v>
      </c>
      <c r="F141" s="950">
        <v>14167000</v>
      </c>
      <c r="G141" s="950">
        <v>0</v>
      </c>
      <c r="H141" s="950">
        <v>14167000</v>
      </c>
      <c r="I141" s="950">
        <v>0</v>
      </c>
      <c r="J141" s="950">
        <v>0</v>
      </c>
      <c r="K141" s="950">
        <v>0</v>
      </c>
      <c r="L141" s="1049">
        <f t="shared" si="6"/>
        <v>0</v>
      </c>
      <c r="M141" s="1010"/>
      <c r="N141" s="1010"/>
      <c r="O141" s="1010"/>
      <c r="P141" s="1010"/>
      <c r="Q141" s="1010"/>
      <c r="R141" s="1216"/>
      <c r="S141" s="1216"/>
      <c r="T141" s="1216"/>
      <c r="U141" s="1216"/>
      <c r="V141" s="1216"/>
      <c r="W141" s="1216"/>
      <c r="X141" s="1216"/>
      <c r="Y141" s="1216"/>
      <c r="Z141" s="1216"/>
      <c r="AA141" s="1216"/>
      <c r="AB141" s="1216"/>
      <c r="AC141" s="1216"/>
      <c r="AD141" s="1216"/>
      <c r="AE141" s="1216"/>
      <c r="AF141" s="1216"/>
      <c r="AG141" s="1216"/>
      <c r="AH141" s="1216"/>
      <c r="AI141" s="1216"/>
      <c r="AJ141" s="1216"/>
      <c r="AK141" s="1216"/>
      <c r="AL141" s="1216"/>
      <c r="AM141" s="1216"/>
      <c r="AN141" s="1216"/>
      <c r="AO141" s="1216"/>
    </row>
    <row r="142" spans="1:41" s="1217" customFormat="1">
      <c r="A142" s="779" t="s">
        <v>639</v>
      </c>
      <c r="B142" s="1214" t="s">
        <v>361</v>
      </c>
      <c r="C142" s="1215" t="s">
        <v>113</v>
      </c>
      <c r="D142" s="394">
        <f>'Pl 2016-20 PFC'!D361</f>
        <v>0</v>
      </c>
      <c r="E142" s="950">
        <v>3548373580</v>
      </c>
      <c r="F142" s="950">
        <v>3575412767</v>
      </c>
      <c r="G142" s="950">
        <v>3575412767</v>
      </c>
      <c r="H142" s="950">
        <v>0</v>
      </c>
      <c r="I142" s="950">
        <v>3709435638</v>
      </c>
      <c r="J142" s="950">
        <v>3882254602</v>
      </c>
      <c r="K142" s="950">
        <v>4037438979</v>
      </c>
      <c r="L142" s="1049">
        <f t="shared" si="6"/>
        <v>100.7620163545463</v>
      </c>
      <c r="M142" s="1010"/>
      <c r="N142" s="1010"/>
      <c r="O142" s="1010"/>
      <c r="P142" s="1010"/>
      <c r="Q142" s="1010"/>
      <c r="R142" s="1216"/>
      <c r="S142" s="1216"/>
      <c r="T142" s="1216"/>
      <c r="U142" s="1216"/>
      <c r="V142" s="1216"/>
      <c r="W142" s="1216"/>
      <c r="X142" s="1216"/>
      <c r="Y142" s="1216"/>
      <c r="Z142" s="1216"/>
      <c r="AA142" s="1216"/>
      <c r="AB142" s="1216"/>
      <c r="AC142" s="1216"/>
      <c r="AD142" s="1216"/>
      <c r="AE142" s="1216"/>
      <c r="AF142" s="1216"/>
      <c r="AG142" s="1216"/>
      <c r="AH142" s="1216"/>
      <c r="AI142" s="1216"/>
      <c r="AJ142" s="1216"/>
      <c r="AK142" s="1216"/>
      <c r="AL142" s="1216"/>
      <c r="AM142" s="1216"/>
      <c r="AN142" s="1216"/>
      <c r="AO142" s="1216"/>
    </row>
    <row r="143" spans="1:41" s="1217" customFormat="1">
      <c r="A143" s="779" t="s">
        <v>640</v>
      </c>
      <c r="B143" s="1214" t="s">
        <v>362</v>
      </c>
      <c r="C143" s="1215" t="s">
        <v>115</v>
      </c>
      <c r="D143" s="394">
        <f>'Pl 2016-20 PFC'!D363</f>
        <v>1331000</v>
      </c>
      <c r="E143" s="950">
        <v>2103794.75</v>
      </c>
      <c r="F143" s="950">
        <v>2155000</v>
      </c>
      <c r="G143" s="950">
        <v>2155000</v>
      </c>
      <c r="H143" s="950">
        <v>0</v>
      </c>
      <c r="I143" s="950">
        <v>2155000</v>
      </c>
      <c r="J143" s="950">
        <v>2155000</v>
      </c>
      <c r="K143" s="950">
        <v>2155000</v>
      </c>
      <c r="L143" s="1049">
        <f t="shared" si="6"/>
        <v>102.43394703784674</v>
      </c>
      <c r="M143" s="1010"/>
      <c r="N143" s="1010"/>
      <c r="O143" s="1010"/>
      <c r="P143" s="1010"/>
      <c r="Q143" s="1010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1216"/>
      <c r="AL143" s="1216"/>
      <c r="AM143" s="1216"/>
      <c r="AN143" s="1216"/>
      <c r="AO143" s="1216"/>
    </row>
    <row r="144" spans="1:41" s="1217" customFormat="1">
      <c r="A144" s="779" t="s">
        <v>349</v>
      </c>
      <c r="B144" s="1214" t="s">
        <v>448</v>
      </c>
      <c r="C144" s="1223" t="s">
        <v>81</v>
      </c>
      <c r="D144" s="394">
        <f>'Pl 2016-20 PFC'!D365</f>
        <v>0</v>
      </c>
      <c r="E144" s="950">
        <v>171799797</v>
      </c>
      <c r="F144" s="950">
        <v>172132000</v>
      </c>
      <c r="G144" s="950">
        <v>172828598</v>
      </c>
      <c r="H144" s="950">
        <v>-696598</v>
      </c>
      <c r="I144" s="950">
        <v>145203298</v>
      </c>
      <c r="J144" s="950">
        <v>139423048</v>
      </c>
      <c r="K144" s="950">
        <v>138716898</v>
      </c>
      <c r="L144" s="1049">
        <f t="shared" si="6"/>
        <v>100.59883714530815</v>
      </c>
      <c r="M144" s="1010"/>
      <c r="N144" s="1010"/>
      <c r="O144" s="1010"/>
      <c r="P144" s="1010"/>
      <c r="Q144" s="1010"/>
      <c r="R144" s="1216"/>
      <c r="S144" s="1216"/>
      <c r="T144" s="1216"/>
      <c r="U144" s="1216"/>
      <c r="V144" s="1216"/>
      <c r="W144" s="1216"/>
      <c r="X144" s="1216"/>
      <c r="Y144" s="1216"/>
      <c r="Z144" s="1216"/>
      <c r="AA144" s="1216"/>
      <c r="AB144" s="1216"/>
      <c r="AC144" s="1216"/>
      <c r="AD144" s="1216"/>
      <c r="AE144" s="1216"/>
      <c r="AF144" s="1216"/>
      <c r="AG144" s="1216"/>
      <c r="AH144" s="1216"/>
      <c r="AI144" s="1216"/>
      <c r="AJ144" s="1216"/>
      <c r="AK144" s="1216"/>
      <c r="AL144" s="1216"/>
      <c r="AM144" s="1216"/>
      <c r="AN144" s="1216"/>
      <c r="AO144" s="1216"/>
    </row>
    <row r="145" spans="1:41" s="1225" customFormat="1">
      <c r="A145" s="779" t="s">
        <v>27</v>
      </c>
      <c r="B145" s="1224" t="s">
        <v>364</v>
      </c>
      <c r="C145" s="1215" t="s">
        <v>127</v>
      </c>
      <c r="D145" s="394">
        <f>'Pl 2016-20 PFC'!D371</f>
        <v>0</v>
      </c>
      <c r="E145" s="950">
        <v>37483260</v>
      </c>
      <c r="F145" s="950">
        <v>45825200</v>
      </c>
      <c r="G145" s="950">
        <v>46521798</v>
      </c>
      <c r="H145" s="950">
        <v>-696598</v>
      </c>
      <c r="I145" s="950">
        <v>45235098</v>
      </c>
      <c r="J145" s="950">
        <v>45132748</v>
      </c>
      <c r="K145" s="950">
        <v>45070598</v>
      </c>
      <c r="L145" s="1049">
        <f t="shared" si="6"/>
        <v>124.11353228081016</v>
      </c>
      <c r="M145" s="1012"/>
      <c r="N145" s="1012"/>
      <c r="O145" s="1012"/>
      <c r="P145" s="1012"/>
      <c r="Q145" s="1012"/>
    </row>
    <row r="146" spans="1:41" s="1211" customFormat="1" ht="10.199999999999999">
      <c r="A146" s="1226"/>
      <c r="B146" s="1227"/>
      <c r="C146" s="1228"/>
      <c r="D146" s="1229"/>
      <c r="E146" s="1230"/>
      <c r="F146" s="1230"/>
      <c r="G146" s="1230"/>
      <c r="H146" s="1230"/>
      <c r="I146" s="1230"/>
      <c r="J146" s="1230"/>
      <c r="K146" s="1230"/>
      <c r="L146" s="1231"/>
      <c r="M146" s="1008"/>
      <c r="N146" s="1008"/>
      <c r="O146" s="1008"/>
      <c r="P146" s="1008"/>
      <c r="Q146" s="1008"/>
    </row>
    <row r="147" spans="1:41" s="1203" customFormat="1">
      <c r="A147" s="1196" t="s">
        <v>589</v>
      </c>
      <c r="B147" s="1197" t="s">
        <v>308</v>
      </c>
      <c r="C147" s="1198" t="s">
        <v>81</v>
      </c>
      <c r="D147" s="1199" t="e">
        <f>SUM(D149,D155,D158,D159,D168,D173,D178)</f>
        <v>#REF!</v>
      </c>
      <c r="E147" s="1200">
        <v>4537652847.0700006</v>
      </c>
      <c r="F147" s="1200">
        <v>4867903226</v>
      </c>
      <c r="G147" s="1200">
        <v>4668646500</v>
      </c>
      <c r="H147" s="1200">
        <v>199256726</v>
      </c>
      <c r="I147" s="1200">
        <v>4623897500</v>
      </c>
      <c r="J147" s="1200">
        <v>4674575500</v>
      </c>
      <c r="K147" s="1200">
        <v>4704267500</v>
      </c>
      <c r="L147" s="1201">
        <f t="shared" si="6"/>
        <v>102.88681521801703</v>
      </c>
      <c r="M147" s="1006"/>
      <c r="N147" s="1006"/>
      <c r="O147" s="1006"/>
      <c r="P147" s="1006"/>
      <c r="Q147" s="1006"/>
      <c r="R147" s="1202"/>
      <c r="S147" s="1202"/>
      <c r="T147" s="1202"/>
      <c r="U147" s="1202"/>
      <c r="V147" s="1202"/>
      <c r="W147" s="1202"/>
      <c r="X147" s="1202"/>
      <c r="Y147" s="1202"/>
      <c r="Z147" s="1202"/>
      <c r="AA147" s="1202"/>
      <c r="AB147" s="1202"/>
      <c r="AC147" s="1202"/>
      <c r="AD147" s="1202"/>
      <c r="AE147" s="1202"/>
      <c r="AF147" s="1202"/>
      <c r="AG147" s="1202"/>
      <c r="AH147" s="1202"/>
      <c r="AI147" s="1202"/>
      <c r="AJ147" s="1202"/>
      <c r="AK147" s="1202"/>
      <c r="AL147" s="1202"/>
      <c r="AM147" s="1202"/>
      <c r="AN147" s="1202"/>
      <c r="AO147" s="1202"/>
    </row>
    <row r="148" spans="1:41" s="1238" customFormat="1" ht="12.75" customHeight="1">
      <c r="A148" s="1232"/>
      <c r="B148" s="1233"/>
      <c r="C148" s="1234"/>
      <c r="D148" s="1235"/>
      <c r="E148" s="1236"/>
      <c r="F148" s="1236"/>
      <c r="G148" s="1236"/>
      <c r="H148" s="1236"/>
      <c r="I148" s="1236"/>
      <c r="J148" s="1236"/>
      <c r="K148" s="1236"/>
      <c r="L148" s="1237"/>
      <c r="M148" s="1008"/>
      <c r="N148" s="1008"/>
      <c r="O148" s="1008"/>
      <c r="P148" s="1008"/>
      <c r="Q148" s="1008"/>
      <c r="R148" s="1211"/>
      <c r="S148" s="1211"/>
      <c r="T148" s="1211"/>
      <c r="U148" s="1211"/>
      <c r="V148" s="1211"/>
      <c r="W148" s="1211"/>
      <c r="X148" s="1211"/>
      <c r="Y148" s="1211"/>
      <c r="Z148" s="1211"/>
      <c r="AA148" s="1211"/>
      <c r="AB148" s="1211"/>
      <c r="AC148" s="1211"/>
      <c r="AD148" s="1211"/>
      <c r="AE148" s="1211"/>
      <c r="AF148" s="1211"/>
      <c r="AG148" s="1211"/>
      <c r="AH148" s="1211"/>
      <c r="AI148" s="1211"/>
      <c r="AJ148" s="1211"/>
      <c r="AK148" s="1211"/>
      <c r="AL148" s="1211"/>
      <c r="AM148" s="1211"/>
      <c r="AN148" s="1211"/>
      <c r="AO148" s="1211"/>
    </row>
    <row r="149" spans="1:41" s="1217" customFormat="1">
      <c r="A149" s="779" t="s">
        <v>322</v>
      </c>
      <c r="B149" s="1214" t="s">
        <v>142</v>
      </c>
      <c r="C149" s="1215" t="s">
        <v>81</v>
      </c>
      <c r="D149" s="394">
        <f>'Pl 2016-20 PFC'!D379</f>
        <v>3415986000</v>
      </c>
      <c r="E149" s="950">
        <v>3407668793.5300002</v>
      </c>
      <c r="F149" s="950">
        <v>3577080000</v>
      </c>
      <c r="G149" s="950">
        <v>3452643000</v>
      </c>
      <c r="H149" s="950">
        <v>124437000</v>
      </c>
      <c r="I149" s="950">
        <v>3459616000</v>
      </c>
      <c r="J149" s="950">
        <v>3472698000</v>
      </c>
      <c r="K149" s="950">
        <v>3480125000</v>
      </c>
      <c r="L149" s="1049">
        <f t="shared" si="6"/>
        <v>101.31979394697603</v>
      </c>
      <c r="M149" s="1010"/>
      <c r="N149" s="1010"/>
      <c r="O149" s="1010"/>
      <c r="P149" s="1010"/>
      <c r="Q149" s="1010"/>
      <c r="R149" s="1216"/>
      <c r="S149" s="1216"/>
      <c r="T149" s="1216"/>
      <c r="U149" s="1216"/>
      <c r="V149" s="1216"/>
      <c r="W149" s="1216"/>
      <c r="X149" s="1216"/>
      <c r="Y149" s="1216"/>
      <c r="Z149" s="1216"/>
      <c r="AA149" s="1216"/>
      <c r="AB149" s="1216"/>
      <c r="AC149" s="1216"/>
      <c r="AD149" s="1216"/>
      <c r="AE149" s="1216"/>
      <c r="AF149" s="1216"/>
      <c r="AG149" s="1216"/>
      <c r="AH149" s="1216"/>
      <c r="AI149" s="1216"/>
      <c r="AJ149" s="1216"/>
      <c r="AK149" s="1216"/>
      <c r="AL149" s="1216"/>
      <c r="AM149" s="1216"/>
      <c r="AN149" s="1216"/>
      <c r="AO149" s="1216"/>
    </row>
    <row r="150" spans="1:41" s="1240" customFormat="1">
      <c r="A150" s="779" t="s">
        <v>16</v>
      </c>
      <c r="B150" s="1214" t="s">
        <v>367</v>
      </c>
      <c r="C150" s="1215" t="s">
        <v>81</v>
      </c>
      <c r="D150" s="394">
        <f>'Pl 2016-20 PFC'!D380</f>
        <v>151853000</v>
      </c>
      <c r="E150" s="950">
        <v>144535793.53</v>
      </c>
      <c r="F150" s="950">
        <v>159140000</v>
      </c>
      <c r="G150" s="950">
        <v>146640000</v>
      </c>
      <c r="H150" s="950">
        <v>12500000</v>
      </c>
      <c r="I150" s="950">
        <v>141220000</v>
      </c>
      <c r="J150" s="950">
        <v>148220000</v>
      </c>
      <c r="K150" s="950">
        <v>149220000</v>
      </c>
      <c r="L150" s="1049">
        <f t="shared" si="6"/>
        <v>101.45583762928817</v>
      </c>
      <c r="M150" s="1014"/>
      <c r="N150" s="1014"/>
      <c r="O150" s="1014"/>
      <c r="P150" s="1014"/>
      <c r="Q150" s="1014"/>
      <c r="R150" s="1239"/>
      <c r="S150" s="1239"/>
      <c r="T150" s="1239"/>
      <c r="U150" s="1239"/>
      <c r="V150" s="1239"/>
      <c r="W150" s="1239"/>
      <c r="X150" s="1239"/>
      <c r="Y150" s="1239"/>
      <c r="Z150" s="1239"/>
      <c r="AA150" s="1239"/>
      <c r="AB150" s="1239"/>
      <c r="AC150" s="1239"/>
      <c r="AD150" s="1239"/>
      <c r="AE150" s="1239"/>
      <c r="AF150" s="1239"/>
      <c r="AG150" s="1239"/>
      <c r="AH150" s="1239"/>
      <c r="AI150" s="1239"/>
      <c r="AJ150" s="1239"/>
      <c r="AK150" s="1239"/>
      <c r="AL150" s="1239"/>
      <c r="AM150" s="1239"/>
      <c r="AN150" s="1239"/>
      <c r="AO150" s="1239"/>
    </row>
    <row r="151" spans="1:41" s="1240" customFormat="1">
      <c r="A151" s="779" t="s">
        <v>144</v>
      </c>
      <c r="B151" s="1214" t="s">
        <v>145</v>
      </c>
      <c r="C151" s="1215" t="s">
        <v>146</v>
      </c>
      <c r="D151" s="394">
        <f>'Pl 2016-20 PFC'!D381</f>
        <v>144653000</v>
      </c>
      <c r="E151" s="950">
        <v>139544572.19</v>
      </c>
      <c r="F151" s="950">
        <v>159140000</v>
      </c>
      <c r="G151" s="950">
        <v>146640000</v>
      </c>
      <c r="H151" s="950">
        <v>12500000</v>
      </c>
      <c r="I151" s="950">
        <v>141220000</v>
      </c>
      <c r="J151" s="950">
        <v>148220000</v>
      </c>
      <c r="K151" s="950">
        <v>149220000</v>
      </c>
      <c r="L151" s="1049">
        <f t="shared" si="6"/>
        <v>105.08470354571661</v>
      </c>
      <c r="M151" s="1015"/>
      <c r="N151" s="1014"/>
      <c r="O151" s="1014"/>
      <c r="P151" s="1014"/>
      <c r="Q151" s="1014"/>
      <c r="R151" s="1239"/>
      <c r="S151" s="1239"/>
      <c r="T151" s="1239"/>
      <c r="U151" s="1239"/>
      <c r="V151" s="1239"/>
      <c r="W151" s="1239"/>
      <c r="X151" s="1239"/>
      <c r="Y151" s="1239"/>
      <c r="Z151" s="1239"/>
      <c r="AA151" s="1239"/>
      <c r="AB151" s="1239"/>
      <c r="AC151" s="1239"/>
      <c r="AD151" s="1239"/>
      <c r="AE151" s="1239"/>
      <c r="AF151" s="1239"/>
      <c r="AG151" s="1239"/>
      <c r="AH151" s="1239"/>
      <c r="AI151" s="1239"/>
      <c r="AJ151" s="1239"/>
      <c r="AK151" s="1239"/>
      <c r="AL151" s="1239"/>
      <c r="AM151" s="1239"/>
      <c r="AN151" s="1239"/>
      <c r="AO151" s="1239"/>
    </row>
    <row r="152" spans="1:41" s="1240" customFormat="1">
      <c r="A152" s="779" t="s">
        <v>147</v>
      </c>
      <c r="B152" s="1214" t="s">
        <v>148</v>
      </c>
      <c r="C152" s="1215" t="s">
        <v>149</v>
      </c>
      <c r="D152" s="394">
        <f>'Pl 2016-20 PFC'!D382</f>
        <v>7200000</v>
      </c>
      <c r="E152" s="950">
        <v>4991221.34</v>
      </c>
      <c r="F152" s="950">
        <v>0</v>
      </c>
      <c r="G152" s="950">
        <v>0</v>
      </c>
      <c r="H152" s="950">
        <v>0</v>
      </c>
      <c r="I152" s="950">
        <v>0</v>
      </c>
      <c r="J152" s="950">
        <v>0</v>
      </c>
      <c r="K152" s="950">
        <v>0</v>
      </c>
      <c r="L152" s="1049">
        <f t="shared" si="6"/>
        <v>0</v>
      </c>
      <c r="M152" s="1014"/>
      <c r="N152" s="1014"/>
      <c r="O152" s="1014"/>
      <c r="P152" s="1014"/>
      <c r="Q152" s="1014"/>
      <c r="R152" s="1239"/>
      <c r="S152" s="1239"/>
      <c r="T152" s="1239"/>
      <c r="U152" s="1239"/>
      <c r="V152" s="1239"/>
      <c r="W152" s="1239"/>
      <c r="X152" s="1239"/>
      <c r="Y152" s="1239"/>
      <c r="Z152" s="1239"/>
      <c r="AA152" s="1239"/>
      <c r="AB152" s="1239"/>
      <c r="AC152" s="1239"/>
      <c r="AD152" s="1239"/>
      <c r="AE152" s="1239"/>
      <c r="AF152" s="1239"/>
      <c r="AG152" s="1239"/>
      <c r="AH152" s="1239"/>
      <c r="AI152" s="1239"/>
      <c r="AJ152" s="1239"/>
      <c r="AK152" s="1239"/>
      <c r="AL152" s="1239"/>
      <c r="AM152" s="1239"/>
      <c r="AN152" s="1239"/>
      <c r="AO152" s="1239"/>
    </row>
    <row r="153" spans="1:41" s="1240" customFormat="1">
      <c r="A153" s="779" t="s">
        <v>17</v>
      </c>
      <c r="B153" s="1214" t="s">
        <v>379</v>
      </c>
      <c r="C153" s="1215" t="s">
        <v>81</v>
      </c>
      <c r="D153" s="394">
        <f>'Pl 2016-20 PFC'!D409</f>
        <v>3264133000</v>
      </c>
      <c r="E153" s="950">
        <v>3263133000</v>
      </c>
      <c r="F153" s="950">
        <v>3417940000</v>
      </c>
      <c r="G153" s="950">
        <v>3306003000</v>
      </c>
      <c r="H153" s="950">
        <v>111937000</v>
      </c>
      <c r="I153" s="950">
        <v>3318396000</v>
      </c>
      <c r="J153" s="950">
        <v>3324478000</v>
      </c>
      <c r="K153" s="950">
        <v>3330905000</v>
      </c>
      <c r="L153" s="1049">
        <f t="shared" si="6"/>
        <v>101.31376808729524</v>
      </c>
      <c r="M153" s="1014"/>
      <c r="N153" s="1014"/>
      <c r="O153" s="1014"/>
      <c r="P153" s="1014"/>
      <c r="Q153" s="1014"/>
      <c r="R153" s="1239"/>
      <c r="S153" s="1239"/>
      <c r="T153" s="1239"/>
      <c r="U153" s="1239"/>
      <c r="V153" s="1239"/>
      <c r="W153" s="1239"/>
      <c r="X153" s="1239"/>
      <c r="Y153" s="1239"/>
      <c r="Z153" s="1239"/>
      <c r="AA153" s="1239"/>
      <c r="AB153" s="1239"/>
      <c r="AC153" s="1239"/>
      <c r="AD153" s="1239"/>
      <c r="AE153" s="1239"/>
      <c r="AF153" s="1239"/>
      <c r="AG153" s="1239"/>
      <c r="AH153" s="1239"/>
      <c r="AI153" s="1239"/>
      <c r="AJ153" s="1239"/>
      <c r="AK153" s="1239"/>
      <c r="AL153" s="1239"/>
      <c r="AM153" s="1239"/>
      <c r="AN153" s="1239"/>
      <c r="AO153" s="1239"/>
    </row>
    <row r="154" spans="1:41" s="1239" customFormat="1">
      <c r="A154" s="779" t="s">
        <v>170</v>
      </c>
      <c r="B154" s="1214" t="s">
        <v>145</v>
      </c>
      <c r="C154" s="1215" t="s">
        <v>171</v>
      </c>
      <c r="D154" s="394">
        <f>'Pl 2016-20 PFC'!D410</f>
        <v>3264133000</v>
      </c>
      <c r="E154" s="950">
        <v>3263133000</v>
      </c>
      <c r="F154" s="950">
        <v>3417940000</v>
      </c>
      <c r="G154" s="950">
        <v>3306003000</v>
      </c>
      <c r="H154" s="950">
        <v>111937000</v>
      </c>
      <c r="I154" s="950">
        <v>3318396000</v>
      </c>
      <c r="J154" s="950">
        <v>3324478000</v>
      </c>
      <c r="K154" s="950">
        <v>3330905000</v>
      </c>
      <c r="L154" s="1049">
        <f t="shared" si="6"/>
        <v>101.31376808729524</v>
      </c>
    </row>
    <row r="155" spans="1:41" s="1216" customFormat="1">
      <c r="A155" s="779" t="s">
        <v>638</v>
      </c>
      <c r="B155" s="1214" t="s">
        <v>388</v>
      </c>
      <c r="C155" s="1215" t="s">
        <v>81</v>
      </c>
      <c r="D155" s="394">
        <f>'Pl 2016-20 PFC'!D439</f>
        <v>5466000</v>
      </c>
      <c r="E155" s="950">
        <v>5366000</v>
      </c>
      <c r="F155" s="950">
        <v>6282000</v>
      </c>
      <c r="G155" s="950">
        <v>6282000</v>
      </c>
      <c r="H155" s="950">
        <v>0</v>
      </c>
      <c r="I155" s="950">
        <v>6350000</v>
      </c>
      <c r="J155" s="950">
        <v>6446000</v>
      </c>
      <c r="K155" s="950">
        <v>6544000</v>
      </c>
      <c r="L155" s="1049">
        <f t="shared" si="6"/>
        <v>117.07044353335819</v>
      </c>
    </row>
    <row r="156" spans="1:41" s="1217" customFormat="1">
      <c r="A156" s="779" t="s">
        <v>20</v>
      </c>
      <c r="B156" s="1214" t="s">
        <v>450</v>
      </c>
      <c r="C156" s="1215" t="s">
        <v>185</v>
      </c>
      <c r="D156" s="394">
        <f>'Pl 2016-20 PFC'!D440</f>
        <v>1750000</v>
      </c>
      <c r="E156" s="950">
        <v>1650000</v>
      </c>
      <c r="F156" s="950">
        <v>2500000</v>
      </c>
      <c r="G156" s="950">
        <v>2500000</v>
      </c>
      <c r="H156" s="950">
        <v>0</v>
      </c>
      <c r="I156" s="950">
        <v>2500000</v>
      </c>
      <c r="J156" s="950">
        <v>2500000</v>
      </c>
      <c r="K156" s="950">
        <v>2500000</v>
      </c>
      <c r="L156" s="1049">
        <f t="shared" si="6"/>
        <v>151.5151515151515</v>
      </c>
      <c r="M156" s="1216"/>
      <c r="N156" s="1216"/>
      <c r="O156" s="1216"/>
      <c r="P156" s="1216"/>
      <c r="Q156" s="1216"/>
      <c r="R156" s="1216"/>
      <c r="S156" s="1216"/>
      <c r="T156" s="1216"/>
      <c r="U156" s="1216"/>
      <c r="V156" s="1216"/>
      <c r="W156" s="1216"/>
      <c r="X156" s="1216"/>
      <c r="Y156" s="1216"/>
      <c r="Z156" s="1216"/>
      <c r="AA156" s="1216"/>
      <c r="AB156" s="1216"/>
      <c r="AC156" s="1216"/>
      <c r="AD156" s="1216"/>
      <c r="AE156" s="1216"/>
      <c r="AF156" s="1216"/>
      <c r="AG156" s="1216"/>
      <c r="AH156" s="1216"/>
      <c r="AI156" s="1216"/>
      <c r="AJ156" s="1216"/>
      <c r="AK156" s="1216"/>
      <c r="AL156" s="1216"/>
      <c r="AM156" s="1216"/>
      <c r="AN156" s="1216"/>
      <c r="AO156" s="1216"/>
    </row>
    <row r="157" spans="1:41" s="1217" customFormat="1">
      <c r="A157" s="779" t="s">
        <v>189</v>
      </c>
      <c r="B157" s="1214" t="s">
        <v>190</v>
      </c>
      <c r="C157" s="1215" t="s">
        <v>191</v>
      </c>
      <c r="D157" s="394">
        <f>'Pl 2016-20 PFC'!D455</f>
        <v>3716000</v>
      </c>
      <c r="E157" s="950">
        <v>3716000</v>
      </c>
      <c r="F157" s="950">
        <v>3782000</v>
      </c>
      <c r="G157" s="950">
        <v>3782000</v>
      </c>
      <c r="H157" s="950">
        <v>0</v>
      </c>
      <c r="I157" s="950">
        <v>3850000</v>
      </c>
      <c r="J157" s="950">
        <v>3946000</v>
      </c>
      <c r="K157" s="950">
        <v>4044000</v>
      </c>
      <c r="L157" s="1049">
        <f t="shared" si="6"/>
        <v>101.77610333692142</v>
      </c>
      <c r="M157" s="1216"/>
      <c r="N157" s="1216"/>
      <c r="O157" s="1216"/>
      <c r="P157" s="1216"/>
      <c r="Q157" s="1216"/>
      <c r="R157" s="1216"/>
      <c r="S157" s="1216"/>
      <c r="T157" s="1216"/>
      <c r="U157" s="1216"/>
      <c r="V157" s="1216"/>
      <c r="W157" s="1216"/>
      <c r="X157" s="1216"/>
      <c r="Y157" s="1216"/>
      <c r="Z157" s="1216"/>
      <c r="AA157" s="1216"/>
      <c r="AB157" s="1216"/>
      <c r="AC157" s="1216"/>
      <c r="AD157" s="1216"/>
      <c r="AE157" s="1216"/>
      <c r="AF157" s="1216"/>
      <c r="AG157" s="1216"/>
      <c r="AH157" s="1216"/>
      <c r="AI157" s="1216"/>
      <c r="AJ157" s="1216"/>
      <c r="AK157" s="1216"/>
      <c r="AL157" s="1216"/>
      <c r="AM157" s="1216"/>
      <c r="AN157" s="1216"/>
      <c r="AO157" s="1216"/>
    </row>
    <row r="158" spans="1:41" s="1217" customFormat="1">
      <c r="A158" s="779" t="s">
        <v>639</v>
      </c>
      <c r="B158" s="1214" t="s">
        <v>193</v>
      </c>
      <c r="C158" s="1215" t="s">
        <v>81</v>
      </c>
      <c r="D158" s="394">
        <f>'Pl 2016-20 PFC'!D458</f>
        <v>40800000</v>
      </c>
      <c r="E158" s="950">
        <v>28283587.620000001</v>
      </c>
      <c r="F158" s="950">
        <v>17000000</v>
      </c>
      <c r="G158" s="950">
        <v>0</v>
      </c>
      <c r="H158" s="950">
        <v>17000000</v>
      </c>
      <c r="I158" s="950">
        <v>0</v>
      </c>
      <c r="J158" s="950">
        <v>0</v>
      </c>
      <c r="K158" s="950">
        <v>0</v>
      </c>
      <c r="L158" s="1049">
        <f t="shared" si="6"/>
        <v>0</v>
      </c>
      <c r="M158" s="1216"/>
      <c r="N158" s="1216"/>
      <c r="O158" s="1216"/>
      <c r="P158" s="1216"/>
      <c r="Q158" s="1216"/>
      <c r="R158" s="1216"/>
      <c r="S158" s="1216"/>
      <c r="T158" s="1216"/>
      <c r="U158" s="1216"/>
      <c r="V158" s="1216"/>
      <c r="W158" s="1216"/>
      <c r="X158" s="1216"/>
      <c r="Y158" s="1216"/>
      <c r="Z158" s="1216"/>
      <c r="AA158" s="1216"/>
      <c r="AB158" s="1216"/>
      <c r="AC158" s="1216"/>
      <c r="AD158" s="1216"/>
      <c r="AE158" s="1216"/>
      <c r="AF158" s="1216"/>
      <c r="AG158" s="1216"/>
      <c r="AH158" s="1216"/>
      <c r="AI158" s="1216"/>
      <c r="AJ158" s="1216"/>
      <c r="AK158" s="1216"/>
      <c r="AL158" s="1216"/>
      <c r="AM158" s="1216"/>
      <c r="AN158" s="1216"/>
      <c r="AO158" s="1216"/>
    </row>
    <row r="159" spans="1:41" s="1245" customFormat="1" ht="16.2">
      <c r="A159" s="779" t="s">
        <v>640</v>
      </c>
      <c r="B159" s="1241" t="s">
        <v>198</v>
      </c>
      <c r="C159" s="1215" t="s">
        <v>81</v>
      </c>
      <c r="D159" s="394" t="e">
        <f>SUM(D161,D163,D164,D162,#REF!,#REF!)</f>
        <v>#REF!</v>
      </c>
      <c r="E159" s="950">
        <v>119577000</v>
      </c>
      <c r="F159" s="950">
        <v>135512726</v>
      </c>
      <c r="G159" s="950">
        <v>135493000</v>
      </c>
      <c r="H159" s="950">
        <v>19726</v>
      </c>
      <c r="I159" s="950">
        <v>137333000</v>
      </c>
      <c r="J159" s="950">
        <v>140353000</v>
      </c>
      <c r="K159" s="950">
        <v>142900000</v>
      </c>
      <c r="L159" s="1049">
        <f t="shared" si="6"/>
        <v>113.31025197153299</v>
      </c>
      <c r="M159" s="1242"/>
      <c r="N159" s="1243"/>
      <c r="O159" s="1243"/>
      <c r="P159" s="1243"/>
      <c r="Q159" s="1243"/>
      <c r="R159" s="1243"/>
      <c r="S159" s="1243"/>
      <c r="T159" s="1243"/>
      <c r="U159" s="1243"/>
      <c r="V159" s="1243"/>
      <c r="W159" s="1243"/>
      <c r="X159" s="1243"/>
      <c r="Y159" s="1243"/>
      <c r="Z159" s="1243"/>
      <c r="AA159" s="1243"/>
      <c r="AB159" s="1243"/>
      <c r="AC159" s="1243"/>
      <c r="AD159" s="1243"/>
      <c r="AE159" s="1243"/>
      <c r="AF159" s="1243"/>
      <c r="AG159" s="1243"/>
      <c r="AH159" s="1243"/>
      <c r="AI159" s="1243"/>
      <c r="AJ159" s="1243"/>
      <c r="AK159" s="1243"/>
      <c r="AL159" s="1243"/>
      <c r="AM159" s="1243"/>
      <c r="AN159" s="1244"/>
      <c r="AO159" s="1244"/>
    </row>
    <row r="160" spans="1:41" s="1245" customFormat="1" ht="16.2">
      <c r="A160" s="779" t="s">
        <v>87</v>
      </c>
      <c r="B160" s="1214" t="s">
        <v>199</v>
      </c>
      <c r="C160" s="1215" t="s">
        <v>81</v>
      </c>
      <c r="D160" s="394">
        <f>SUM(D161,D162)</f>
        <v>53482000</v>
      </c>
      <c r="E160" s="950">
        <v>53482000</v>
      </c>
      <c r="F160" s="950">
        <v>63502000</v>
      </c>
      <c r="G160" s="950">
        <v>63482000</v>
      </c>
      <c r="H160" s="950">
        <v>20000</v>
      </c>
      <c r="I160" s="950">
        <v>64627000</v>
      </c>
      <c r="J160" s="950">
        <v>66246000</v>
      </c>
      <c r="K160" s="950">
        <v>67905000</v>
      </c>
      <c r="L160" s="1049">
        <f t="shared" si="6"/>
        <v>118.6978796604465</v>
      </c>
      <c r="M160" s="1242"/>
      <c r="N160" s="1243"/>
      <c r="O160" s="1243"/>
      <c r="P160" s="1243"/>
      <c r="Q160" s="1243"/>
      <c r="R160" s="1243"/>
      <c r="S160" s="1243"/>
      <c r="T160" s="1243"/>
      <c r="U160" s="1243"/>
      <c r="V160" s="1243"/>
      <c r="W160" s="1243"/>
      <c r="X160" s="1243"/>
      <c r="Y160" s="1243"/>
      <c r="Z160" s="1243"/>
      <c r="AA160" s="1243"/>
      <c r="AB160" s="1243"/>
      <c r="AC160" s="1243"/>
      <c r="AD160" s="1243"/>
      <c r="AE160" s="1243"/>
      <c r="AF160" s="1243"/>
      <c r="AG160" s="1243"/>
      <c r="AH160" s="1243"/>
      <c r="AI160" s="1243"/>
      <c r="AJ160" s="1243"/>
      <c r="AK160" s="1243"/>
      <c r="AL160" s="1243"/>
      <c r="AM160" s="1243"/>
      <c r="AN160" s="1244"/>
      <c r="AO160" s="1244"/>
    </row>
    <row r="161" spans="1:41" s="1245" customFormat="1" ht="16.2">
      <c r="A161" s="779" t="s">
        <v>200</v>
      </c>
      <c r="B161" s="1246" t="s">
        <v>476</v>
      </c>
      <c r="C161" s="1215" t="s">
        <v>1048</v>
      </c>
      <c r="D161" s="394">
        <f>'Pl 2016-20 PFC'!D483</f>
        <v>52282000</v>
      </c>
      <c r="E161" s="950">
        <v>52282000</v>
      </c>
      <c r="F161" s="950">
        <v>62282000</v>
      </c>
      <c r="G161" s="950">
        <v>62282000</v>
      </c>
      <c r="H161" s="950">
        <v>0</v>
      </c>
      <c r="I161" s="950">
        <v>63405000</v>
      </c>
      <c r="J161" s="950">
        <v>64993000</v>
      </c>
      <c r="K161" s="950">
        <v>66621000</v>
      </c>
      <c r="L161" s="1049">
        <f t="shared" si="6"/>
        <v>119.1270418117134</v>
      </c>
      <c r="M161" s="1242"/>
      <c r="N161" s="1243"/>
      <c r="O161" s="1243"/>
      <c r="P161" s="1243"/>
      <c r="Q161" s="1243"/>
      <c r="R161" s="1243"/>
      <c r="S161" s="1243"/>
      <c r="T161" s="1243"/>
      <c r="U161" s="1243"/>
      <c r="V161" s="1243"/>
      <c r="W161" s="1243"/>
      <c r="X161" s="1243"/>
      <c r="Y161" s="1243"/>
      <c r="Z161" s="1243"/>
      <c r="AA161" s="1243"/>
      <c r="AB161" s="1243"/>
      <c r="AC161" s="1243"/>
      <c r="AD161" s="1243"/>
      <c r="AE161" s="1243"/>
      <c r="AF161" s="1243"/>
      <c r="AG161" s="1243"/>
      <c r="AH161" s="1243"/>
      <c r="AI161" s="1243"/>
      <c r="AJ161" s="1243"/>
      <c r="AK161" s="1243"/>
      <c r="AL161" s="1243"/>
      <c r="AM161" s="1243"/>
      <c r="AN161" s="1244"/>
      <c r="AO161" s="1244"/>
    </row>
    <row r="162" spans="1:41" s="1245" customFormat="1" ht="16.2">
      <c r="A162" s="779" t="s">
        <v>203</v>
      </c>
      <c r="B162" s="1246" t="s">
        <v>477</v>
      </c>
      <c r="C162" s="1215" t="s">
        <v>205</v>
      </c>
      <c r="D162" s="394">
        <f>'Pl 2016-20 PFC'!D486</f>
        <v>1200000</v>
      </c>
      <c r="E162" s="950">
        <v>1200000</v>
      </c>
      <c r="F162" s="950">
        <v>1220000</v>
      </c>
      <c r="G162" s="950">
        <v>1200000</v>
      </c>
      <c r="H162" s="950">
        <v>20000</v>
      </c>
      <c r="I162" s="950">
        <v>1222000</v>
      </c>
      <c r="J162" s="950">
        <v>1253000</v>
      </c>
      <c r="K162" s="950">
        <v>1284000</v>
      </c>
      <c r="L162" s="1049">
        <f t="shared" si="6"/>
        <v>100</v>
      </c>
      <c r="M162" s="1242"/>
      <c r="N162" s="1243"/>
      <c r="O162" s="1243"/>
      <c r="P162" s="1243"/>
      <c r="Q162" s="1243"/>
      <c r="R162" s="1243"/>
      <c r="S162" s="1243"/>
      <c r="T162" s="1243"/>
      <c r="U162" s="1243"/>
      <c r="V162" s="1243"/>
      <c r="W162" s="1243"/>
      <c r="X162" s="1243"/>
      <c r="Y162" s="1243"/>
      <c r="Z162" s="1243"/>
      <c r="AA162" s="1243"/>
      <c r="AB162" s="1243"/>
      <c r="AC162" s="1243"/>
      <c r="AD162" s="1243"/>
      <c r="AE162" s="1243"/>
      <c r="AF162" s="1243"/>
      <c r="AG162" s="1243"/>
      <c r="AH162" s="1243"/>
      <c r="AI162" s="1243"/>
      <c r="AJ162" s="1243"/>
      <c r="AK162" s="1243"/>
      <c r="AL162" s="1243"/>
      <c r="AM162" s="1243"/>
      <c r="AN162" s="1244"/>
      <c r="AO162" s="1244"/>
    </row>
    <row r="163" spans="1:41" s="1245" customFormat="1" ht="16.2">
      <c r="A163" s="779" t="s">
        <v>89</v>
      </c>
      <c r="B163" s="1214" t="s">
        <v>402</v>
      </c>
      <c r="C163" s="1215" t="s">
        <v>1057</v>
      </c>
      <c r="D163" s="394">
        <f>'Pl 2016-20 PFC'!D488</f>
        <v>9392000</v>
      </c>
      <c r="E163" s="950">
        <v>9392000</v>
      </c>
      <c r="F163" s="950">
        <v>11866000</v>
      </c>
      <c r="G163" s="950">
        <v>11866000</v>
      </c>
      <c r="H163" s="950">
        <v>0</v>
      </c>
      <c r="I163" s="950">
        <v>12078000</v>
      </c>
      <c r="J163" s="950">
        <v>12384000</v>
      </c>
      <c r="K163" s="950">
        <v>12690000</v>
      </c>
      <c r="L163" s="1049">
        <f t="shared" si="6"/>
        <v>126.34156729131176</v>
      </c>
      <c r="M163" s="1242"/>
      <c r="N163" s="1243"/>
      <c r="O163" s="1243"/>
      <c r="P163" s="1243"/>
      <c r="Q163" s="1243"/>
      <c r="R163" s="1243"/>
      <c r="S163" s="1243"/>
      <c r="T163" s="1243"/>
      <c r="U163" s="1243"/>
      <c r="V163" s="1243"/>
      <c r="W163" s="1243"/>
      <c r="X163" s="1243"/>
      <c r="Y163" s="1243"/>
      <c r="Z163" s="1243"/>
      <c r="AA163" s="1243"/>
      <c r="AB163" s="1243"/>
      <c r="AC163" s="1243"/>
      <c r="AD163" s="1243"/>
      <c r="AE163" s="1243"/>
      <c r="AF163" s="1243"/>
      <c r="AG163" s="1243"/>
      <c r="AH163" s="1243"/>
      <c r="AI163" s="1243"/>
      <c r="AJ163" s="1243"/>
      <c r="AK163" s="1243"/>
      <c r="AL163" s="1243"/>
      <c r="AM163" s="1243"/>
      <c r="AN163" s="1244"/>
      <c r="AO163" s="1244"/>
    </row>
    <row r="164" spans="1:41" s="1245" customFormat="1" ht="16.2">
      <c r="A164" s="779" t="s">
        <v>206</v>
      </c>
      <c r="B164" s="1214" t="s">
        <v>404</v>
      </c>
      <c r="C164" s="1215" t="s">
        <v>1055</v>
      </c>
      <c r="D164" s="394">
        <f>'Pl 2016-20 PFC'!D491</f>
        <v>1311000</v>
      </c>
      <c r="E164" s="950">
        <v>1311000</v>
      </c>
      <c r="F164" s="950">
        <v>1660000</v>
      </c>
      <c r="G164" s="950">
        <v>1660000</v>
      </c>
      <c r="H164" s="950">
        <v>0</v>
      </c>
      <c r="I164" s="950">
        <v>1691000</v>
      </c>
      <c r="J164" s="950">
        <v>1731000</v>
      </c>
      <c r="K164" s="950">
        <v>1772000</v>
      </c>
      <c r="L164" s="1049">
        <f t="shared" si="6"/>
        <v>126.62090007627765</v>
      </c>
      <c r="M164" s="1242"/>
      <c r="N164" s="1243"/>
      <c r="O164" s="1243"/>
      <c r="P164" s="1243"/>
      <c r="Q164" s="1243"/>
      <c r="R164" s="1243"/>
      <c r="S164" s="1243"/>
      <c r="T164" s="1243"/>
      <c r="U164" s="1243"/>
      <c r="V164" s="1243"/>
      <c r="W164" s="1243"/>
      <c r="X164" s="1243"/>
      <c r="Y164" s="1243"/>
      <c r="Z164" s="1243"/>
      <c r="AA164" s="1243"/>
      <c r="AB164" s="1243"/>
      <c r="AC164" s="1243"/>
      <c r="AD164" s="1243"/>
      <c r="AE164" s="1243"/>
      <c r="AF164" s="1243"/>
      <c r="AG164" s="1243"/>
      <c r="AH164" s="1243"/>
      <c r="AI164" s="1243"/>
      <c r="AJ164" s="1243"/>
      <c r="AK164" s="1243"/>
      <c r="AL164" s="1243"/>
      <c r="AM164" s="1243"/>
      <c r="AN164" s="1244"/>
      <c r="AO164" s="1244"/>
    </row>
    <row r="165" spans="1:41" s="1245" customFormat="1" ht="16.2">
      <c r="A165" s="779" t="s">
        <v>209</v>
      </c>
      <c r="B165" s="1214" t="s">
        <v>666</v>
      </c>
      <c r="C165" s="1215" t="s">
        <v>216</v>
      </c>
      <c r="D165" s="394">
        <f>'Pl 2016-20 PFC'!D497</f>
        <v>47189000</v>
      </c>
      <c r="E165" s="950">
        <v>1311000</v>
      </c>
      <c r="F165" s="950">
        <v>1660000</v>
      </c>
      <c r="G165" s="950">
        <v>1660000</v>
      </c>
      <c r="H165" s="950">
        <v>0</v>
      </c>
      <c r="I165" s="950">
        <v>1691000</v>
      </c>
      <c r="J165" s="950">
        <v>1731000</v>
      </c>
      <c r="K165" s="950">
        <v>1772000</v>
      </c>
      <c r="L165" s="1049">
        <f t="shared" si="6"/>
        <v>126.62090007627765</v>
      </c>
      <c r="M165" s="1242"/>
      <c r="N165" s="1243"/>
      <c r="O165" s="1243"/>
      <c r="P165" s="1243"/>
      <c r="Q165" s="1243"/>
      <c r="R165" s="1243"/>
      <c r="S165" s="1243"/>
      <c r="T165" s="1243"/>
      <c r="U165" s="1243"/>
      <c r="V165" s="1243"/>
      <c r="W165" s="1243"/>
      <c r="X165" s="1243"/>
      <c r="Y165" s="1243"/>
      <c r="Z165" s="1243"/>
      <c r="AA165" s="1243"/>
      <c r="AB165" s="1243"/>
      <c r="AC165" s="1243"/>
      <c r="AD165" s="1243"/>
      <c r="AE165" s="1243"/>
      <c r="AF165" s="1243"/>
      <c r="AG165" s="1243"/>
      <c r="AH165" s="1243"/>
      <c r="AI165" s="1243"/>
      <c r="AJ165" s="1243"/>
      <c r="AK165" s="1243"/>
      <c r="AL165" s="1243"/>
      <c r="AM165" s="1243"/>
      <c r="AN165" s="1244"/>
      <c r="AO165" s="1244"/>
    </row>
    <row r="166" spans="1:41" s="1245" customFormat="1" ht="16.2">
      <c r="A166" s="779" t="s">
        <v>212</v>
      </c>
      <c r="B166" s="1214" t="s">
        <v>409</v>
      </c>
      <c r="C166" s="1215" t="s">
        <v>81</v>
      </c>
      <c r="D166" s="394">
        <f>'Pl 2016-20 PFC'!D509</f>
        <v>8883000</v>
      </c>
      <c r="E166" s="950">
        <v>46509000</v>
      </c>
      <c r="F166" s="950">
        <v>47338000</v>
      </c>
      <c r="G166" s="950">
        <v>47338000</v>
      </c>
      <c r="H166" s="950">
        <v>0</v>
      </c>
      <c r="I166" s="950">
        <v>47845000</v>
      </c>
      <c r="J166" s="950">
        <v>48872000</v>
      </c>
      <c r="K166" s="950">
        <v>49385000</v>
      </c>
      <c r="L166" s="1049">
        <f t="shared" si="6"/>
        <v>101.78245070846503</v>
      </c>
      <c r="M166" s="1242"/>
      <c r="N166" s="1243"/>
      <c r="O166" s="1243"/>
      <c r="P166" s="1243"/>
      <c r="Q166" s="1243"/>
      <c r="R166" s="1243"/>
      <c r="S166" s="1243"/>
      <c r="T166" s="1243"/>
      <c r="U166" s="1243"/>
      <c r="V166" s="1243"/>
      <c r="W166" s="1243"/>
      <c r="X166" s="1243"/>
      <c r="Y166" s="1243"/>
      <c r="Z166" s="1243"/>
      <c r="AA166" s="1243"/>
      <c r="AB166" s="1243"/>
      <c r="AC166" s="1243"/>
      <c r="AD166" s="1243"/>
      <c r="AE166" s="1243"/>
      <c r="AF166" s="1243"/>
      <c r="AG166" s="1243"/>
      <c r="AH166" s="1243"/>
      <c r="AI166" s="1243"/>
      <c r="AJ166" s="1243"/>
      <c r="AK166" s="1243"/>
      <c r="AL166" s="1243"/>
      <c r="AM166" s="1243"/>
      <c r="AN166" s="1244"/>
      <c r="AO166" s="1244"/>
    </row>
    <row r="167" spans="1:41" s="1249" customFormat="1">
      <c r="A167" s="779" t="s">
        <v>214</v>
      </c>
      <c r="B167" s="1214" t="s">
        <v>481</v>
      </c>
      <c r="C167" s="1215" t="s">
        <v>238</v>
      </c>
      <c r="D167" s="394">
        <f>'Pl 2016-20 PFC'!D510</f>
        <v>8883000</v>
      </c>
      <c r="E167" s="950">
        <v>8883000</v>
      </c>
      <c r="F167" s="950">
        <v>11146726</v>
      </c>
      <c r="G167" s="950">
        <v>11147000</v>
      </c>
      <c r="H167" s="950">
        <v>-274</v>
      </c>
      <c r="I167" s="950">
        <v>11092000</v>
      </c>
      <c r="J167" s="950">
        <v>11120000</v>
      </c>
      <c r="K167" s="950">
        <v>11148000</v>
      </c>
      <c r="L167" s="1049">
        <f t="shared" si="6"/>
        <v>125.48688506135315</v>
      </c>
      <c r="M167" s="1242"/>
      <c r="N167" s="1247"/>
      <c r="O167" s="1248"/>
      <c r="P167" s="1248"/>
      <c r="Q167" s="1248"/>
      <c r="R167" s="1248"/>
      <c r="S167" s="1247"/>
      <c r="T167" s="1247"/>
      <c r="U167" s="1247"/>
      <c r="V167" s="1247"/>
      <c r="W167" s="1247"/>
      <c r="X167" s="1247"/>
      <c r="Y167" s="1247"/>
      <c r="Z167" s="1247"/>
      <c r="AA167" s="1247"/>
      <c r="AB167" s="1247"/>
      <c r="AC167" s="1247"/>
      <c r="AD167" s="1247"/>
      <c r="AE167" s="1247"/>
      <c r="AF167" s="1247"/>
      <c r="AG167" s="1247"/>
      <c r="AH167" s="1247"/>
      <c r="AI167" s="1247"/>
      <c r="AJ167" s="1247"/>
      <c r="AK167" s="1247"/>
      <c r="AL167" s="1247"/>
      <c r="AM167" s="1247"/>
      <c r="AN167" s="1247"/>
      <c r="AO167" s="1247"/>
    </row>
    <row r="168" spans="1:41" s="1252" customFormat="1">
      <c r="A168" s="779" t="s">
        <v>349</v>
      </c>
      <c r="B168" s="1241" t="s">
        <v>482</v>
      </c>
      <c r="C168" s="1215" t="s">
        <v>81</v>
      </c>
      <c r="D168" s="394">
        <f>'Pl 2016-20 PFC'!D529</f>
        <v>90525000</v>
      </c>
      <c r="E168" s="950">
        <v>56855969.609999999</v>
      </c>
      <c r="F168" s="950">
        <v>208000000</v>
      </c>
      <c r="G168" s="950">
        <v>150200000</v>
      </c>
      <c r="H168" s="950">
        <v>57800000</v>
      </c>
      <c r="I168" s="950">
        <v>96320000</v>
      </c>
      <c r="J168" s="950">
        <v>131350000</v>
      </c>
      <c r="K168" s="950">
        <v>150970000</v>
      </c>
      <c r="L168" s="1049">
        <f t="shared" si="6"/>
        <v>264.17630554942184</v>
      </c>
      <c r="M168" s="1250"/>
      <c r="N168" s="1216"/>
      <c r="O168" s="1216"/>
      <c r="P168" s="1216"/>
      <c r="Q168" s="1216"/>
      <c r="R168" s="1216"/>
      <c r="S168" s="1216"/>
      <c r="T168" s="1216"/>
      <c r="U168" s="1216"/>
      <c r="V168" s="1216"/>
      <c r="W168" s="1216"/>
      <c r="X168" s="1216"/>
      <c r="Y168" s="1216"/>
      <c r="Z168" s="1216"/>
      <c r="AA168" s="1216"/>
      <c r="AB168" s="1216"/>
      <c r="AC168" s="1216"/>
      <c r="AD168" s="1216"/>
      <c r="AE168" s="1216"/>
      <c r="AF168" s="1216"/>
      <c r="AG168" s="1216"/>
      <c r="AH168" s="1216"/>
      <c r="AI168" s="1216"/>
      <c r="AJ168" s="1216"/>
      <c r="AK168" s="1216"/>
      <c r="AL168" s="1216"/>
      <c r="AM168" s="1216"/>
      <c r="AN168" s="1251"/>
      <c r="AO168" s="1251"/>
    </row>
    <row r="169" spans="1:41" s="1252" customFormat="1">
      <c r="A169" s="779" t="s">
        <v>27</v>
      </c>
      <c r="B169" s="1214" t="s">
        <v>424</v>
      </c>
      <c r="C169" s="1253" t="s">
        <v>1058</v>
      </c>
      <c r="D169" s="394">
        <f>'Pl 2016-20 PFC'!D530</f>
        <v>62633000</v>
      </c>
      <c r="E169" s="1221">
        <v>29870000</v>
      </c>
      <c r="F169" s="1221">
        <v>45900000</v>
      </c>
      <c r="G169" s="1221">
        <v>45900000</v>
      </c>
      <c r="H169" s="1221">
        <v>0</v>
      </c>
      <c r="I169" s="1221">
        <v>42020000</v>
      </c>
      <c r="J169" s="1221">
        <v>32050000</v>
      </c>
      <c r="K169" s="1221">
        <v>21670000</v>
      </c>
      <c r="L169" s="1222">
        <f t="shared" si="6"/>
        <v>153.66588550385001</v>
      </c>
      <c r="M169" s="1216"/>
      <c r="N169" s="1216"/>
      <c r="O169" s="1216"/>
      <c r="P169" s="1216"/>
      <c r="Q169" s="1216"/>
      <c r="R169" s="1216"/>
      <c r="S169" s="1216"/>
      <c r="T169" s="1216"/>
      <c r="U169" s="1216"/>
      <c r="V169" s="1216"/>
      <c r="W169" s="1216"/>
      <c r="X169" s="1216"/>
      <c r="Y169" s="1216"/>
      <c r="Z169" s="1216"/>
      <c r="AA169" s="1216"/>
      <c r="AB169" s="1216"/>
      <c r="AC169" s="1216"/>
      <c r="AD169" s="1216"/>
      <c r="AE169" s="1216"/>
      <c r="AF169" s="1216"/>
      <c r="AG169" s="1216"/>
      <c r="AH169" s="1216"/>
      <c r="AI169" s="1216"/>
      <c r="AJ169" s="1216"/>
      <c r="AK169" s="1216"/>
      <c r="AL169" s="1216"/>
      <c r="AM169" s="1216"/>
      <c r="AN169" s="1251"/>
      <c r="AO169" s="1251"/>
    </row>
    <row r="170" spans="1:41" s="1240" customFormat="1">
      <c r="A170" s="779" t="s">
        <v>28</v>
      </c>
      <c r="B170" s="1214" t="s">
        <v>484</v>
      </c>
      <c r="C170" s="1215" t="s">
        <v>427</v>
      </c>
      <c r="D170" s="394">
        <f>'Pl 2016-20 PFC'!D536</f>
        <v>27892000</v>
      </c>
      <c r="E170" s="950">
        <v>26985969.609999999</v>
      </c>
      <c r="F170" s="950">
        <v>162100000</v>
      </c>
      <c r="G170" s="950">
        <v>104300000</v>
      </c>
      <c r="H170" s="950">
        <v>57800000</v>
      </c>
      <c r="I170" s="950">
        <v>54300000</v>
      </c>
      <c r="J170" s="950">
        <v>99300000</v>
      </c>
      <c r="K170" s="950">
        <v>129300000</v>
      </c>
      <c r="L170" s="1049">
        <f t="shared" si="6"/>
        <v>386.49713724331139</v>
      </c>
      <c r="M170" s="1239"/>
      <c r="N170" s="1239"/>
      <c r="O170" s="1239"/>
      <c r="P170" s="1239"/>
      <c r="Q170" s="1239"/>
      <c r="R170" s="1239"/>
      <c r="S170" s="1239"/>
      <c r="T170" s="1239"/>
      <c r="U170" s="1239"/>
      <c r="V170" s="1239"/>
      <c r="W170" s="1239"/>
      <c r="X170" s="1239"/>
      <c r="Y170" s="1239"/>
      <c r="Z170" s="1239"/>
      <c r="AA170" s="1239"/>
      <c r="AB170" s="1239"/>
      <c r="AC170" s="1239"/>
      <c r="AD170" s="1239"/>
      <c r="AE170" s="1239"/>
      <c r="AF170" s="1239"/>
      <c r="AG170" s="1239"/>
      <c r="AH170" s="1239"/>
      <c r="AI170" s="1239"/>
      <c r="AJ170" s="1239"/>
      <c r="AK170" s="1239"/>
      <c r="AL170" s="1239"/>
      <c r="AM170" s="1239"/>
      <c r="AN170" s="1239"/>
      <c r="AO170" s="1239"/>
    </row>
    <row r="171" spans="1:41" s="1240" customFormat="1">
      <c r="A171" s="779" t="s">
        <v>276</v>
      </c>
      <c r="B171" s="1214" t="s">
        <v>277</v>
      </c>
      <c r="C171" s="1215" t="s">
        <v>278</v>
      </c>
      <c r="D171" s="394">
        <f>'Pl 2016-20 PFC'!D537</f>
        <v>23512000</v>
      </c>
      <c r="E171" s="950">
        <v>22605969.609999999</v>
      </c>
      <c r="F171" s="950">
        <v>152700000</v>
      </c>
      <c r="G171" s="950">
        <v>98200000</v>
      </c>
      <c r="H171" s="950">
        <v>54500000</v>
      </c>
      <c r="I171" s="950">
        <v>48200000</v>
      </c>
      <c r="J171" s="950">
        <v>93200000</v>
      </c>
      <c r="K171" s="950">
        <v>123200000</v>
      </c>
      <c r="L171" s="1049">
        <f t="shared" si="6"/>
        <v>434.39853142401881</v>
      </c>
      <c r="M171" s="1254"/>
      <c r="N171" s="1239"/>
      <c r="O171" s="1239"/>
      <c r="P171" s="1239"/>
      <c r="Q171" s="1239"/>
      <c r="R171" s="1239"/>
      <c r="S171" s="1239"/>
      <c r="T171" s="1239"/>
      <c r="U171" s="1239"/>
      <c r="V171" s="1239"/>
      <c r="W171" s="1239"/>
      <c r="X171" s="1239"/>
      <c r="Y171" s="1239"/>
      <c r="Z171" s="1239"/>
      <c r="AA171" s="1239"/>
      <c r="AB171" s="1239"/>
      <c r="AC171" s="1239"/>
      <c r="AD171" s="1239"/>
      <c r="AE171" s="1239"/>
      <c r="AF171" s="1239"/>
      <c r="AG171" s="1239"/>
      <c r="AH171" s="1239"/>
      <c r="AI171" s="1239"/>
      <c r="AJ171" s="1239"/>
      <c r="AK171" s="1239"/>
      <c r="AL171" s="1239"/>
      <c r="AM171" s="1239"/>
      <c r="AN171" s="1239"/>
      <c r="AO171" s="1239"/>
    </row>
    <row r="172" spans="1:41" s="1255" customFormat="1" ht="16.2" thickBot="1">
      <c r="A172" s="779" t="s">
        <v>281</v>
      </c>
      <c r="B172" s="1214" t="s">
        <v>282</v>
      </c>
      <c r="C172" s="376" t="s">
        <v>283</v>
      </c>
      <c r="D172" s="394">
        <f>'Pl 2016-20 PFC'!D554</f>
        <v>4380000</v>
      </c>
      <c r="E172" s="950">
        <v>4380000</v>
      </c>
      <c r="F172" s="950">
        <v>9400000</v>
      </c>
      <c r="G172" s="950">
        <v>6100000</v>
      </c>
      <c r="H172" s="950">
        <v>3300000</v>
      </c>
      <c r="I172" s="950">
        <v>6100000</v>
      </c>
      <c r="J172" s="950">
        <v>6100000</v>
      </c>
      <c r="K172" s="950">
        <v>6100000</v>
      </c>
      <c r="L172" s="1049">
        <f t="shared" si="6"/>
        <v>139.26940639269407</v>
      </c>
      <c r="M172" s="1254"/>
      <c r="N172" s="1239"/>
      <c r="O172" s="1239"/>
      <c r="P172" s="1239"/>
      <c r="Q172" s="1239"/>
      <c r="R172" s="1239"/>
      <c r="S172" s="1239"/>
      <c r="T172" s="1239"/>
      <c r="U172" s="1239"/>
      <c r="V172" s="1239"/>
      <c r="W172" s="1239"/>
      <c r="X172" s="1239"/>
      <c r="Y172" s="1239"/>
      <c r="Z172" s="1239"/>
      <c r="AA172" s="1239"/>
      <c r="AB172" s="1239"/>
      <c r="AC172" s="1239"/>
      <c r="AD172" s="1239"/>
      <c r="AE172" s="1239"/>
      <c r="AF172" s="1239"/>
      <c r="AG172" s="1239"/>
      <c r="AH172" s="1239"/>
      <c r="AI172" s="1239"/>
      <c r="AJ172" s="1239"/>
      <c r="AK172" s="1239"/>
      <c r="AL172" s="1239"/>
      <c r="AM172" s="1239"/>
      <c r="AN172" s="1239"/>
      <c r="AO172" s="1239"/>
    </row>
    <row r="173" spans="1:41" s="1217" customFormat="1">
      <c r="A173" s="779" t="s">
        <v>641</v>
      </c>
      <c r="B173" s="1214" t="s">
        <v>435</v>
      </c>
      <c r="C173" s="1215" t="s">
        <v>115</v>
      </c>
      <c r="D173" s="394">
        <f>'Pl 2016-20 PFC'!D572</f>
        <v>915783000</v>
      </c>
      <c r="E173" s="950">
        <v>915783000</v>
      </c>
      <c r="F173" s="950">
        <v>922378500</v>
      </c>
      <c r="G173" s="950">
        <v>922378500</v>
      </c>
      <c r="H173" s="950">
        <v>0</v>
      </c>
      <c r="I173" s="950">
        <v>922378500</v>
      </c>
      <c r="J173" s="950">
        <v>922378500</v>
      </c>
      <c r="K173" s="950">
        <v>922378500</v>
      </c>
      <c r="L173" s="1049">
        <f t="shared" si="6"/>
        <v>100.72020336695483</v>
      </c>
      <c r="M173" s="1216"/>
      <c r="N173" s="1216"/>
      <c r="O173" s="1216"/>
      <c r="P173" s="1216"/>
      <c r="Q173" s="1216"/>
      <c r="R173" s="1216"/>
      <c r="S173" s="1216"/>
      <c r="T173" s="1216"/>
      <c r="U173" s="1216"/>
      <c r="V173" s="1216"/>
      <c r="W173" s="1216"/>
      <c r="X173" s="1216"/>
      <c r="Y173" s="1216"/>
      <c r="Z173" s="1216"/>
      <c r="AA173" s="1216"/>
      <c r="AB173" s="1216"/>
      <c r="AC173" s="1216"/>
      <c r="AD173" s="1216"/>
      <c r="AE173" s="1216"/>
      <c r="AF173" s="1216"/>
      <c r="AG173" s="1216"/>
      <c r="AH173" s="1216"/>
      <c r="AI173" s="1216"/>
      <c r="AJ173" s="1216"/>
      <c r="AK173" s="1216"/>
      <c r="AL173" s="1216"/>
      <c r="AM173" s="1216"/>
      <c r="AN173" s="1216"/>
      <c r="AO173" s="1216"/>
    </row>
    <row r="174" spans="1:41" s="1240" customFormat="1">
      <c r="A174" s="779" t="s">
        <v>436</v>
      </c>
      <c r="B174" s="1214" t="s">
        <v>290</v>
      </c>
      <c r="C174" s="1215"/>
      <c r="D174" s="394">
        <f>'Pl 2016-20 PFC'!D574</f>
        <v>146341000</v>
      </c>
      <c r="E174" s="950">
        <v>146341000</v>
      </c>
      <c r="F174" s="950">
        <v>146341000</v>
      </c>
      <c r="G174" s="950">
        <v>146341000</v>
      </c>
      <c r="H174" s="950">
        <v>0</v>
      </c>
      <c r="I174" s="950">
        <v>146341000</v>
      </c>
      <c r="J174" s="950">
        <v>146341000</v>
      </c>
      <c r="K174" s="950">
        <v>146341000</v>
      </c>
      <c r="L174" s="1049">
        <f t="shared" si="6"/>
        <v>100</v>
      </c>
      <c r="M174" s="1239"/>
      <c r="N174" s="1239"/>
      <c r="O174" s="1239"/>
      <c r="P174" s="1239"/>
      <c r="Q174" s="1239"/>
      <c r="R174" s="1239"/>
      <c r="S174" s="1239"/>
      <c r="T174" s="1239"/>
      <c r="U174" s="1239"/>
      <c r="V174" s="1239"/>
      <c r="W174" s="1239"/>
      <c r="X174" s="1239"/>
      <c r="Y174" s="1239"/>
      <c r="Z174" s="1239"/>
      <c r="AA174" s="1239"/>
      <c r="AB174" s="1239"/>
      <c r="AC174" s="1239"/>
      <c r="AD174" s="1239"/>
      <c r="AE174" s="1239"/>
      <c r="AF174" s="1239"/>
      <c r="AG174" s="1239"/>
      <c r="AH174" s="1239"/>
      <c r="AI174" s="1239"/>
      <c r="AJ174" s="1239"/>
      <c r="AK174" s="1239"/>
      <c r="AL174" s="1239"/>
      <c r="AM174" s="1239"/>
      <c r="AN174" s="1239"/>
      <c r="AO174" s="1239"/>
    </row>
    <row r="175" spans="1:41" s="1240" customFormat="1">
      <c r="A175" s="779" t="s">
        <v>438</v>
      </c>
      <c r="B175" s="1214" t="s">
        <v>291</v>
      </c>
      <c r="C175" s="1215"/>
      <c r="D175" s="394">
        <f>'Pl 2016-20 PFC'!D576</f>
        <v>3659000</v>
      </c>
      <c r="E175" s="950">
        <v>3659000</v>
      </c>
      <c r="F175" s="950">
        <v>3659000</v>
      </c>
      <c r="G175" s="950">
        <v>3659000</v>
      </c>
      <c r="H175" s="950">
        <v>0</v>
      </c>
      <c r="I175" s="950">
        <v>3659000</v>
      </c>
      <c r="J175" s="950">
        <v>3659000</v>
      </c>
      <c r="K175" s="950">
        <v>3659000</v>
      </c>
      <c r="L175" s="1049">
        <f t="shared" si="6"/>
        <v>100</v>
      </c>
      <c r="M175" s="1239"/>
      <c r="N175" s="1239"/>
      <c r="O175" s="1239"/>
      <c r="P175" s="1239"/>
      <c r="Q175" s="1239"/>
      <c r="R175" s="1239"/>
      <c r="S175" s="1239"/>
      <c r="T175" s="1239"/>
      <c r="U175" s="1239"/>
      <c r="V175" s="1239"/>
      <c r="W175" s="1239"/>
      <c r="X175" s="1239"/>
      <c r="Y175" s="1239"/>
      <c r="Z175" s="1239"/>
      <c r="AA175" s="1239"/>
      <c r="AB175" s="1239"/>
      <c r="AC175" s="1239"/>
      <c r="AD175" s="1239"/>
      <c r="AE175" s="1239"/>
      <c r="AF175" s="1239"/>
      <c r="AG175" s="1239"/>
      <c r="AH175" s="1239"/>
      <c r="AI175" s="1239"/>
      <c r="AJ175" s="1239"/>
      <c r="AK175" s="1239"/>
      <c r="AL175" s="1239"/>
      <c r="AM175" s="1239"/>
      <c r="AN175" s="1239"/>
      <c r="AO175" s="1239"/>
    </row>
    <row r="176" spans="1:41" s="1240" customFormat="1">
      <c r="A176" s="779" t="s">
        <v>440</v>
      </c>
      <c r="B176" s="1214" t="s">
        <v>292</v>
      </c>
      <c r="C176" s="1215"/>
      <c r="D176" s="394">
        <f>'Pl 2016-20 PFC'!D578</f>
        <v>747105000</v>
      </c>
      <c r="E176" s="950">
        <v>747105000</v>
      </c>
      <c r="F176" s="950">
        <v>753540000</v>
      </c>
      <c r="G176" s="950">
        <v>753540000</v>
      </c>
      <c r="H176" s="950">
        <v>0</v>
      </c>
      <c r="I176" s="950">
        <v>753540000</v>
      </c>
      <c r="J176" s="950">
        <v>753540000</v>
      </c>
      <c r="K176" s="950">
        <v>753540000</v>
      </c>
      <c r="L176" s="1049">
        <f t="shared" si="6"/>
        <v>100.8613247133937</v>
      </c>
      <c r="M176" s="1239"/>
      <c r="N176" s="1239"/>
      <c r="O176" s="1239"/>
      <c r="P176" s="1239"/>
      <c r="Q176" s="1239"/>
      <c r="R176" s="1239"/>
      <c r="S176" s="1239"/>
      <c r="T176" s="1239"/>
      <c r="U176" s="1239"/>
      <c r="V176" s="1239"/>
      <c r="W176" s="1239"/>
      <c r="X176" s="1239"/>
      <c r="Y176" s="1239"/>
      <c r="Z176" s="1239"/>
      <c r="AA176" s="1239"/>
      <c r="AB176" s="1239"/>
      <c r="AC176" s="1239"/>
      <c r="AD176" s="1239"/>
      <c r="AE176" s="1239"/>
      <c r="AF176" s="1239"/>
      <c r="AG176" s="1239"/>
      <c r="AH176" s="1239"/>
      <c r="AI176" s="1239"/>
      <c r="AJ176" s="1239"/>
      <c r="AK176" s="1239"/>
      <c r="AL176" s="1239"/>
      <c r="AM176" s="1239"/>
      <c r="AN176" s="1239"/>
      <c r="AO176" s="1239"/>
    </row>
    <row r="177" spans="1:41" s="1240" customFormat="1">
      <c r="A177" s="779" t="s">
        <v>442</v>
      </c>
      <c r="B177" s="1214" t="s">
        <v>294</v>
      </c>
      <c r="C177" s="1215"/>
      <c r="D177" s="394">
        <f>'Pl 2016-20 PFC'!D580</f>
        <v>18678000</v>
      </c>
      <c r="E177" s="950">
        <v>18678000</v>
      </c>
      <c r="F177" s="950">
        <v>18838500</v>
      </c>
      <c r="G177" s="950">
        <v>18838500</v>
      </c>
      <c r="H177" s="950">
        <v>0</v>
      </c>
      <c r="I177" s="950">
        <v>18838500</v>
      </c>
      <c r="J177" s="950">
        <v>18838500</v>
      </c>
      <c r="K177" s="950">
        <v>18838500</v>
      </c>
      <c r="L177" s="1049">
        <f t="shared" si="6"/>
        <v>100.85929971088981</v>
      </c>
      <c r="M177" s="1239"/>
      <c r="N177" s="1239"/>
      <c r="O177" s="1239"/>
      <c r="P177" s="1239"/>
      <c r="Q177" s="1239"/>
      <c r="R177" s="1239"/>
      <c r="S177" s="1239"/>
      <c r="T177" s="1239"/>
      <c r="U177" s="1239"/>
      <c r="V177" s="1239"/>
      <c r="W177" s="1239"/>
      <c r="X177" s="1239"/>
      <c r="Y177" s="1239"/>
      <c r="Z177" s="1239"/>
      <c r="AA177" s="1239"/>
      <c r="AB177" s="1239"/>
      <c r="AC177" s="1239"/>
      <c r="AD177" s="1239"/>
      <c r="AE177" s="1239"/>
      <c r="AF177" s="1239"/>
      <c r="AG177" s="1239"/>
      <c r="AH177" s="1239"/>
      <c r="AI177" s="1239"/>
      <c r="AJ177" s="1239"/>
      <c r="AK177" s="1239"/>
      <c r="AL177" s="1239"/>
      <c r="AM177" s="1239"/>
      <c r="AN177" s="1239"/>
      <c r="AO177" s="1239"/>
    </row>
    <row r="178" spans="1:41" s="1240" customFormat="1">
      <c r="A178" s="779" t="s">
        <v>642</v>
      </c>
      <c r="B178" s="1214" t="s">
        <v>73</v>
      </c>
      <c r="C178" s="1223" t="s">
        <v>81</v>
      </c>
      <c r="D178" s="394">
        <f>'Pl 2016-20 PFC'!D582</f>
        <v>4140000</v>
      </c>
      <c r="E178" s="950">
        <v>4118496.31</v>
      </c>
      <c r="F178" s="950">
        <v>1650000</v>
      </c>
      <c r="G178" s="950">
        <v>1650000</v>
      </c>
      <c r="H178" s="950">
        <v>0</v>
      </c>
      <c r="I178" s="950">
        <v>1900000</v>
      </c>
      <c r="J178" s="950">
        <v>1350000</v>
      </c>
      <c r="K178" s="950">
        <v>1350000</v>
      </c>
      <c r="L178" s="1049">
        <f t="shared" si="6"/>
        <v>40.063165675144191</v>
      </c>
      <c r="M178" s="1239"/>
      <c r="N178" s="1239"/>
      <c r="O178" s="1239"/>
      <c r="P178" s="1239"/>
      <c r="Q178" s="1239"/>
      <c r="R178" s="1239"/>
      <c r="S178" s="1239"/>
      <c r="T178" s="1239"/>
      <c r="U178" s="1239"/>
      <c r="V178" s="1239"/>
      <c r="W178" s="1239"/>
      <c r="X178" s="1239"/>
      <c r="Y178" s="1239"/>
      <c r="Z178" s="1239"/>
      <c r="AA178" s="1239"/>
      <c r="AB178" s="1239"/>
      <c r="AC178" s="1239"/>
      <c r="AD178" s="1239"/>
      <c r="AE178" s="1239"/>
      <c r="AF178" s="1239"/>
      <c r="AG178" s="1239"/>
      <c r="AH178" s="1239"/>
      <c r="AI178" s="1239"/>
      <c r="AJ178" s="1239"/>
      <c r="AK178" s="1239"/>
      <c r="AL178" s="1239"/>
      <c r="AM178" s="1239"/>
      <c r="AN178" s="1239"/>
      <c r="AO178" s="1239"/>
    </row>
    <row r="179" spans="1:41" s="1112" customFormat="1" ht="16.2" thickBot="1">
      <c r="A179" s="1256"/>
      <c r="B179" s="1257"/>
      <c r="C179" s="1258"/>
      <c r="D179" s="1259"/>
      <c r="E179" s="1260"/>
      <c r="F179" s="1260"/>
      <c r="G179" s="1260"/>
      <c r="H179" s="1260"/>
      <c r="I179" s="1260"/>
      <c r="J179" s="1260"/>
      <c r="K179" s="1260"/>
      <c r="L179" s="1261"/>
      <c r="M179" s="1239"/>
      <c r="N179" s="1239"/>
      <c r="O179" s="1239"/>
      <c r="P179" s="1239"/>
      <c r="Q179" s="1239"/>
      <c r="R179" s="1239"/>
      <c r="S179" s="1239"/>
      <c r="T179" s="1239"/>
      <c r="U179" s="1239"/>
      <c r="V179" s="1239"/>
      <c r="W179" s="1239"/>
      <c r="X179" s="1239"/>
      <c r="Y179" s="1239"/>
      <c r="Z179" s="1239"/>
      <c r="AA179" s="1239"/>
      <c r="AB179" s="1239"/>
      <c r="AC179" s="1239"/>
      <c r="AD179" s="1239"/>
      <c r="AE179" s="1239"/>
      <c r="AF179" s="1239"/>
      <c r="AG179" s="1239"/>
      <c r="AH179" s="1239"/>
      <c r="AI179" s="1239"/>
      <c r="AJ179" s="1239"/>
      <c r="AK179" s="1239"/>
      <c r="AL179" s="1239"/>
      <c r="AM179" s="1239"/>
      <c r="AN179" s="1111"/>
      <c r="AO179" s="1111"/>
    </row>
    <row r="180" spans="1:41" ht="18.600000000000001" thickBot="1">
      <c r="A180" s="1071" t="s">
        <v>488</v>
      </c>
      <c r="B180" s="1072"/>
      <c r="C180" s="1072"/>
      <c r="D180" s="1072"/>
      <c r="E180" s="1262"/>
      <c r="F180" s="1262"/>
      <c r="G180" s="1262"/>
      <c r="H180" s="1262"/>
      <c r="I180" s="1262"/>
      <c r="J180" s="1262"/>
      <c r="K180" s="1262"/>
      <c r="L180" s="981"/>
    </row>
    <row r="181" spans="1:41" ht="105.75" customHeight="1" thickBot="1">
      <c r="A181" s="2237" t="s">
        <v>7</v>
      </c>
      <c r="B181" s="2248" t="s">
        <v>489</v>
      </c>
      <c r="C181" s="2248"/>
      <c r="D181" s="1263"/>
      <c r="E181" s="1189" t="str">
        <f>E132</f>
        <v>Przewidywane 
wykonanie 
w 2015</v>
      </c>
      <c r="F181" s="1189" t="str">
        <f t="shared" ref="F181:K181" si="7">F132</f>
        <v>Projekt planu 
na 2016 r.</v>
      </c>
      <c r="G181" s="1189" t="str">
        <f t="shared" si="7"/>
        <v>Plan wg Ustawy Budżetowej 
na 2016 r.</v>
      </c>
      <c r="H181" s="1189" t="str">
        <f t="shared" si="7"/>
        <v>różnice</v>
      </c>
      <c r="I181" s="1189" t="str">
        <f t="shared" si="7"/>
        <v xml:space="preserve">Zmiany  </v>
      </c>
      <c r="J181" s="1189" t="str">
        <f t="shared" si="7"/>
        <v xml:space="preserve">Plan 
po zmianach </v>
      </c>
      <c r="K181" s="1189" t="e">
        <f t="shared" si="7"/>
        <v>#REF!</v>
      </c>
    </row>
    <row r="182" spans="1:41" ht="16.5" customHeight="1" thickBot="1">
      <c r="A182" s="2237"/>
      <c r="B182" s="2248"/>
      <c r="C182" s="2248"/>
      <c r="D182" s="1264"/>
      <c r="E182" s="2236" t="str">
        <f>E133</f>
        <v>w tysiącach złotych</v>
      </c>
      <c r="F182" s="2236"/>
      <c r="G182" s="2236"/>
      <c r="H182" s="2236"/>
      <c r="I182" s="2236"/>
      <c r="J182" s="2236"/>
      <c r="K182" s="2236"/>
      <c r="L182" s="981"/>
    </row>
    <row r="183" spans="1:41" ht="12.75" customHeight="1" thickBot="1">
      <c r="A183" s="1191">
        <v>1</v>
      </c>
      <c r="B183" s="1192">
        <v>2</v>
      </c>
      <c r="C183" s="1193"/>
      <c r="D183" s="1193"/>
      <c r="E183" s="1194">
        <v>3</v>
      </c>
      <c r="F183" s="1195"/>
      <c r="G183" s="1195">
        <v>4</v>
      </c>
      <c r="H183" s="1195"/>
      <c r="I183" s="1195">
        <v>5</v>
      </c>
      <c r="J183" s="1195">
        <v>6</v>
      </c>
      <c r="K183" s="1195">
        <v>7</v>
      </c>
    </row>
    <row r="184" spans="1:41" s="1101" customFormat="1" ht="12.75" customHeight="1" thickBot="1">
      <c r="A184" s="1265"/>
      <c r="B184" s="2249" t="s">
        <v>490</v>
      </c>
      <c r="C184" s="2249"/>
      <c r="D184" s="1266"/>
      <c r="E184" s="1265"/>
      <c r="F184" s="1265"/>
      <c r="G184" s="1265"/>
      <c r="H184" s="1265"/>
      <c r="I184" s="1265"/>
      <c r="J184" s="1265"/>
      <c r="K184" s="1265"/>
      <c r="L184" s="978"/>
      <c r="M184" s="1100"/>
      <c r="N184" s="1100"/>
      <c r="O184" s="1100"/>
      <c r="P184" s="1100"/>
      <c r="Q184" s="1100"/>
      <c r="R184" s="1100"/>
      <c r="S184" s="1100"/>
      <c r="T184" s="1100"/>
      <c r="U184" s="1100"/>
      <c r="V184" s="1100"/>
      <c r="W184" s="1100"/>
      <c r="X184" s="1100"/>
      <c r="Y184" s="1100"/>
      <c r="Z184" s="1100"/>
      <c r="AA184" s="1100"/>
      <c r="AB184" s="1100"/>
      <c r="AC184" s="1100"/>
      <c r="AD184" s="1100"/>
      <c r="AE184" s="1100"/>
      <c r="AF184" s="1100"/>
      <c r="AG184" s="1100"/>
      <c r="AH184" s="1100"/>
      <c r="AI184" s="1100"/>
      <c r="AJ184" s="1100"/>
      <c r="AK184" s="1100"/>
      <c r="AL184" s="1100"/>
      <c r="AM184" s="1100"/>
      <c r="AN184" s="1100"/>
      <c r="AO184" s="1100"/>
    </row>
    <row r="185" spans="1:41" s="1101" customFormat="1" ht="16.2" thickBot="1">
      <c r="A185" s="1267">
        <v>1</v>
      </c>
      <c r="B185" s="2249"/>
      <c r="C185" s="2249"/>
      <c r="D185" s="1268"/>
      <c r="E185" s="1269"/>
      <c r="F185" s="1269"/>
      <c r="G185" s="1269"/>
      <c r="H185" s="1269"/>
      <c r="I185" s="1269"/>
      <c r="J185" s="1269"/>
      <c r="K185" s="1269"/>
      <c r="L185" s="978"/>
      <c r="M185" s="1100"/>
      <c r="N185" s="1100"/>
      <c r="O185" s="1100"/>
      <c r="P185" s="1100"/>
      <c r="Q185" s="1100"/>
      <c r="R185" s="1100"/>
      <c r="S185" s="1100"/>
      <c r="T185" s="1100"/>
      <c r="U185" s="1100"/>
      <c r="V185" s="1100"/>
      <c r="W185" s="1100"/>
      <c r="X185" s="1100"/>
      <c r="Y185" s="1100"/>
      <c r="Z185" s="1100"/>
      <c r="AA185" s="1100"/>
      <c r="AB185" s="1100"/>
      <c r="AC185" s="1100"/>
      <c r="AD185" s="1100"/>
      <c r="AE185" s="1100"/>
      <c r="AF185" s="1100"/>
      <c r="AG185" s="1100"/>
      <c r="AH185" s="1100"/>
      <c r="AI185" s="1100"/>
      <c r="AJ185" s="1100"/>
      <c r="AK185" s="1100"/>
      <c r="AL185" s="1100"/>
      <c r="AM185" s="1100"/>
      <c r="AN185" s="1100"/>
      <c r="AO185" s="1100"/>
    </row>
    <row r="186" spans="1:41" s="1153" customFormat="1">
      <c r="A186" s="1270" t="s">
        <v>16</v>
      </c>
      <c r="B186" s="1033" t="s">
        <v>491</v>
      </c>
      <c r="C186" s="1271"/>
      <c r="D186" s="1171"/>
      <c r="E186" s="382"/>
      <c r="F186" s="382"/>
      <c r="G186" s="382"/>
      <c r="H186" s="382"/>
      <c r="I186" s="382"/>
      <c r="J186" s="382"/>
      <c r="K186" s="382"/>
      <c r="L186" s="979"/>
      <c r="M186" s="1152"/>
      <c r="N186" s="1152"/>
      <c r="O186" s="1152"/>
      <c r="P186" s="1152"/>
      <c r="Q186" s="1152"/>
      <c r="R186" s="1152"/>
      <c r="S186" s="1152"/>
      <c r="T186" s="1152"/>
      <c r="U186" s="1152"/>
      <c r="V186" s="1152"/>
      <c r="W186" s="1152"/>
      <c r="X186" s="1152"/>
      <c r="Y186" s="1152"/>
      <c r="Z186" s="1152"/>
      <c r="AA186" s="1152"/>
      <c r="AB186" s="1152"/>
      <c r="AC186" s="1152"/>
      <c r="AD186" s="1152"/>
      <c r="AE186" s="1152"/>
      <c r="AF186" s="1152"/>
      <c r="AG186" s="1152"/>
      <c r="AH186" s="1152"/>
      <c r="AI186" s="1152"/>
      <c r="AJ186" s="1152"/>
      <c r="AK186" s="1152"/>
      <c r="AL186" s="1152"/>
      <c r="AM186" s="1152"/>
    </row>
    <row r="187" spans="1:41" s="1153" customFormat="1">
      <c r="A187" s="382" t="s">
        <v>17</v>
      </c>
      <c r="B187" s="1033" t="s">
        <v>492</v>
      </c>
      <c r="C187" s="1272"/>
      <c r="D187" s="1272"/>
      <c r="E187" s="1273"/>
      <c r="F187" s="1273"/>
      <c r="G187" s="1273"/>
      <c r="H187" s="1273"/>
      <c r="I187" s="1273"/>
      <c r="J187" s="1273"/>
      <c r="K187" s="1273"/>
      <c r="L187" s="979"/>
      <c r="M187" s="1152"/>
      <c r="N187" s="1152"/>
      <c r="O187" s="1152"/>
      <c r="P187" s="1152"/>
      <c r="Q187" s="1152"/>
      <c r="R187" s="1152"/>
      <c r="S187" s="1152"/>
      <c r="T187" s="1152"/>
      <c r="U187" s="1152"/>
      <c r="V187" s="1152"/>
      <c r="W187" s="1152"/>
      <c r="X187" s="1152"/>
      <c r="Y187" s="1152"/>
      <c r="Z187" s="1152"/>
      <c r="AA187" s="1152"/>
      <c r="AB187" s="1152"/>
      <c r="AC187" s="1152"/>
      <c r="AD187" s="1152"/>
      <c r="AE187" s="1152"/>
      <c r="AF187" s="1152"/>
      <c r="AG187" s="1152"/>
      <c r="AH187" s="1152"/>
      <c r="AI187" s="1152"/>
      <c r="AJ187" s="1152"/>
      <c r="AK187" s="1152"/>
      <c r="AL187" s="1152"/>
      <c r="AM187" s="1152"/>
    </row>
    <row r="188" spans="1:41" s="1153" customFormat="1">
      <c r="A188" s="382"/>
      <c r="B188" s="1033" t="s">
        <v>493</v>
      </c>
      <c r="C188" s="1272"/>
      <c r="D188" s="1272"/>
      <c r="E188" s="382"/>
      <c r="F188" s="382"/>
      <c r="G188" s="382"/>
      <c r="H188" s="382"/>
      <c r="I188" s="382"/>
      <c r="J188" s="382"/>
      <c r="K188" s="382"/>
      <c r="L188" s="979"/>
      <c r="M188" s="1152"/>
      <c r="N188" s="1152"/>
      <c r="O188" s="1152"/>
      <c r="P188" s="1152"/>
      <c r="Q188" s="1152"/>
      <c r="R188" s="1152"/>
      <c r="S188" s="1152"/>
      <c r="T188" s="1152"/>
      <c r="U188" s="1152"/>
      <c r="V188" s="1152"/>
      <c r="W188" s="1152"/>
      <c r="X188" s="1152"/>
      <c r="Y188" s="1152"/>
      <c r="Z188" s="1152"/>
      <c r="AA188" s="1152"/>
      <c r="AB188" s="1152"/>
      <c r="AC188" s="1152"/>
      <c r="AD188" s="1152"/>
      <c r="AE188" s="1152"/>
      <c r="AF188" s="1152"/>
      <c r="AG188" s="1152"/>
      <c r="AH188" s="1152"/>
      <c r="AI188" s="1152"/>
      <c r="AJ188" s="1152"/>
      <c r="AK188" s="1152"/>
      <c r="AL188" s="1152"/>
      <c r="AM188" s="1152"/>
    </row>
    <row r="189" spans="1:41" s="1153" customFormat="1">
      <c r="A189" s="382"/>
      <c r="B189" s="1033" t="s">
        <v>494</v>
      </c>
      <c r="C189" s="1272"/>
      <c r="D189" s="1272"/>
      <c r="E189" s="1273"/>
      <c r="F189" s="1273"/>
      <c r="G189" s="1273"/>
      <c r="H189" s="1273"/>
      <c r="I189" s="1273"/>
      <c r="J189" s="1273"/>
      <c r="K189" s="1273"/>
      <c r="L189" s="979"/>
      <c r="M189" s="1152"/>
      <c r="N189" s="1152"/>
      <c r="O189" s="1152"/>
      <c r="P189" s="1152"/>
      <c r="Q189" s="1152"/>
      <c r="R189" s="1152"/>
      <c r="S189" s="1152"/>
      <c r="T189" s="1152"/>
      <c r="U189" s="1152"/>
      <c r="V189" s="1152"/>
      <c r="W189" s="1152"/>
      <c r="X189" s="1152"/>
      <c r="Y189" s="1152"/>
      <c r="Z189" s="1152"/>
      <c r="AA189" s="1152"/>
      <c r="AB189" s="1152"/>
      <c r="AC189" s="1152"/>
      <c r="AD189" s="1152"/>
      <c r="AE189" s="1152"/>
      <c r="AF189" s="1152"/>
      <c r="AG189" s="1152"/>
      <c r="AH189" s="1152"/>
      <c r="AI189" s="1152"/>
      <c r="AJ189" s="1152"/>
      <c r="AK189" s="1152"/>
      <c r="AL189" s="1152"/>
      <c r="AM189" s="1152"/>
    </row>
    <row r="190" spans="1:41" s="1153" customFormat="1">
      <c r="A190" s="382" t="s">
        <v>306</v>
      </c>
      <c r="B190" s="1033" t="s">
        <v>495</v>
      </c>
      <c r="C190" s="1272"/>
      <c r="D190" s="1272"/>
      <c r="E190" s="382"/>
      <c r="F190" s="382"/>
      <c r="G190" s="382"/>
      <c r="H190" s="382"/>
      <c r="I190" s="382"/>
      <c r="J190" s="382"/>
      <c r="K190" s="382"/>
      <c r="L190" s="979"/>
      <c r="M190" s="1152"/>
      <c r="N190" s="1152"/>
      <c r="O190" s="1152"/>
      <c r="P190" s="1152"/>
      <c r="Q190" s="1152"/>
      <c r="R190" s="1152"/>
      <c r="S190" s="1152"/>
      <c r="T190" s="1152"/>
      <c r="U190" s="1152"/>
      <c r="V190" s="1152"/>
      <c r="W190" s="1152"/>
      <c r="X190" s="1152"/>
      <c r="Y190" s="1152"/>
      <c r="Z190" s="1152"/>
      <c r="AA190" s="1152"/>
      <c r="AB190" s="1152"/>
      <c r="AC190" s="1152"/>
      <c r="AD190" s="1152"/>
      <c r="AE190" s="1152"/>
      <c r="AF190" s="1152"/>
      <c r="AG190" s="1152"/>
      <c r="AH190" s="1152"/>
      <c r="AI190" s="1152"/>
      <c r="AJ190" s="1152"/>
      <c r="AK190" s="1152"/>
      <c r="AL190" s="1152"/>
      <c r="AM190" s="1152"/>
    </row>
    <row r="191" spans="1:41" s="1153" customFormat="1" ht="16.2" thickBot="1">
      <c r="A191" s="1274" t="s">
        <v>317</v>
      </c>
      <c r="B191" s="1275" t="s">
        <v>496</v>
      </c>
      <c r="C191" s="1276"/>
      <c r="D191" s="1276"/>
      <c r="E191" s="1277"/>
      <c r="F191" s="1277"/>
      <c r="G191" s="1277"/>
      <c r="H191" s="1277"/>
      <c r="I191" s="1277"/>
      <c r="J191" s="1277"/>
      <c r="K191" s="1277"/>
      <c r="L191" s="979"/>
      <c r="M191" s="1152"/>
      <c r="N191" s="1152"/>
      <c r="O191" s="1152"/>
      <c r="P191" s="1152"/>
      <c r="Q191" s="1152"/>
      <c r="R191" s="1152"/>
      <c r="S191" s="1152"/>
      <c r="T191" s="1152"/>
      <c r="U191" s="1152"/>
      <c r="V191" s="1152"/>
      <c r="W191" s="1152"/>
      <c r="X191" s="1152"/>
      <c r="Y191" s="1152"/>
      <c r="Z191" s="1152"/>
      <c r="AA191" s="1152"/>
      <c r="AB191" s="1152"/>
      <c r="AC191" s="1152"/>
      <c r="AD191" s="1152"/>
      <c r="AE191" s="1152"/>
      <c r="AF191" s="1152"/>
      <c r="AG191" s="1152"/>
      <c r="AH191" s="1152"/>
      <c r="AI191" s="1152"/>
      <c r="AJ191" s="1152"/>
      <c r="AK191" s="1152"/>
      <c r="AL191" s="1152"/>
      <c r="AM191" s="1152"/>
    </row>
    <row r="192" spans="1:41" ht="18.600000000000001" thickBot="1">
      <c r="A192" s="1278" t="s">
        <v>497</v>
      </c>
      <c r="B192" s="1072"/>
      <c r="C192" s="1072"/>
      <c r="D192" s="1072"/>
      <c r="E192" s="1072"/>
      <c r="F192" s="1072"/>
      <c r="G192" s="1072"/>
      <c r="H192" s="1072"/>
      <c r="I192" s="1072"/>
      <c r="J192" s="1072"/>
      <c r="K192" s="1072"/>
      <c r="L192" s="981"/>
    </row>
    <row r="193" spans="1:91" ht="108.75" customHeight="1" thickBot="1">
      <c r="A193" s="2237" t="s">
        <v>7</v>
      </c>
      <c r="B193" s="2248" t="s">
        <v>489</v>
      </c>
      <c r="C193" s="2248"/>
      <c r="D193" s="1263"/>
      <c r="E193" s="1189" t="str">
        <f>E181</f>
        <v>Przewidywane 
wykonanie 
w 2015</v>
      </c>
      <c r="F193" s="1189" t="str">
        <f t="shared" ref="F193:K193" si="8">F181</f>
        <v>Projekt planu 
na 2016 r.</v>
      </c>
      <c r="G193" s="1189" t="str">
        <f t="shared" si="8"/>
        <v>Plan wg Ustawy Budżetowej 
na 2016 r.</v>
      </c>
      <c r="H193" s="1189" t="str">
        <f t="shared" si="8"/>
        <v>różnice</v>
      </c>
      <c r="I193" s="1189" t="str">
        <f t="shared" si="8"/>
        <v xml:space="preserve">Zmiany  </v>
      </c>
      <c r="J193" s="1189" t="str">
        <f t="shared" si="8"/>
        <v xml:space="preserve">Plan 
po zmianach </v>
      </c>
      <c r="K193" s="1189" t="e">
        <f t="shared" si="8"/>
        <v>#REF!</v>
      </c>
      <c r="L193" s="1190" t="s">
        <v>1063</v>
      </c>
    </row>
    <row r="194" spans="1:91" ht="16.5" customHeight="1" thickBot="1">
      <c r="A194" s="2237"/>
      <c r="B194" s="2248"/>
      <c r="C194" s="2248"/>
      <c r="D194" s="1264"/>
      <c r="E194" s="2236" t="str">
        <f>E182</f>
        <v>w tysiącach złotych</v>
      </c>
      <c r="F194" s="2236"/>
      <c r="G194" s="2236"/>
      <c r="H194" s="2236"/>
      <c r="I194" s="2236"/>
      <c r="J194" s="2236"/>
      <c r="K194" s="2236"/>
      <c r="AP194" s="1059"/>
      <c r="AQ194" s="1059"/>
      <c r="AR194" s="1059"/>
      <c r="AS194" s="1059"/>
      <c r="AT194" s="1059"/>
      <c r="AU194" s="1059"/>
      <c r="AV194" s="1059"/>
      <c r="AW194" s="1059"/>
      <c r="AX194" s="1059"/>
      <c r="AY194" s="1059"/>
      <c r="AZ194" s="1059"/>
      <c r="BA194" s="1059"/>
      <c r="BB194" s="1059"/>
      <c r="BC194" s="1059"/>
      <c r="BD194" s="1059"/>
      <c r="BE194" s="1059"/>
      <c r="BF194" s="1059"/>
      <c r="BG194" s="1059"/>
      <c r="BH194" s="1059"/>
      <c r="BI194" s="1059"/>
      <c r="BJ194" s="1059"/>
      <c r="BK194" s="1059"/>
      <c r="BL194" s="1059"/>
      <c r="BM194" s="1059"/>
      <c r="BN194" s="1059"/>
      <c r="BO194" s="1059"/>
      <c r="BP194" s="1059"/>
      <c r="BQ194" s="1059"/>
      <c r="BR194" s="1059"/>
      <c r="BS194" s="1059"/>
      <c r="BT194" s="1059"/>
      <c r="BU194" s="1059"/>
      <c r="BV194" s="1059"/>
      <c r="BW194" s="1059"/>
      <c r="BX194" s="1059"/>
      <c r="BY194" s="1059"/>
      <c r="BZ194" s="1059"/>
      <c r="CA194" s="1059"/>
      <c r="CB194" s="1059"/>
      <c r="CC194" s="1059"/>
      <c r="CD194" s="1059"/>
      <c r="CE194" s="1059"/>
      <c r="CF194" s="1059"/>
      <c r="CG194" s="1059"/>
      <c r="CH194" s="1059"/>
      <c r="CI194" s="1059"/>
      <c r="CJ194" s="1059"/>
      <c r="CK194" s="1059"/>
      <c r="CL194" s="1059"/>
      <c r="CM194" s="1059"/>
    </row>
    <row r="195" spans="1:91" ht="16.2" thickBot="1">
      <c r="A195" s="1191">
        <v>1</v>
      </c>
      <c r="B195" s="1192">
        <v>2</v>
      </c>
      <c r="C195" s="1193"/>
      <c r="D195" s="1193"/>
      <c r="E195" s="1194">
        <v>3</v>
      </c>
      <c r="F195" s="1195"/>
      <c r="G195" s="1195">
        <v>4</v>
      </c>
      <c r="H195" s="1195"/>
      <c r="I195" s="1195">
        <v>5</v>
      </c>
      <c r="J195" s="1195">
        <v>6</v>
      </c>
      <c r="K195" s="1195">
        <v>7</v>
      </c>
      <c r="AP195" s="1059"/>
      <c r="AQ195" s="1059"/>
      <c r="AR195" s="1059"/>
      <c r="AS195" s="1059"/>
      <c r="AT195" s="1059"/>
      <c r="AU195" s="1059"/>
      <c r="AV195" s="1059"/>
      <c r="AW195" s="1059"/>
      <c r="AX195" s="1059"/>
      <c r="AY195" s="1059"/>
      <c r="AZ195" s="1059"/>
      <c r="BA195" s="1059"/>
      <c r="BB195" s="1059"/>
      <c r="BC195" s="1059"/>
      <c r="BD195" s="1059"/>
      <c r="BE195" s="1059"/>
      <c r="BF195" s="1059"/>
      <c r="BG195" s="1059"/>
      <c r="BH195" s="1059"/>
      <c r="BI195" s="1059"/>
      <c r="BJ195" s="1059"/>
      <c r="BK195" s="1059"/>
      <c r="BL195" s="1059"/>
      <c r="BM195" s="1059"/>
      <c r="BN195" s="1059"/>
      <c r="BO195" s="1059"/>
      <c r="BP195" s="1059"/>
      <c r="BQ195" s="1059"/>
      <c r="BR195" s="1059"/>
      <c r="BS195" s="1059"/>
      <c r="BT195" s="1059"/>
      <c r="BU195" s="1059"/>
      <c r="BV195" s="1059"/>
      <c r="BW195" s="1059"/>
      <c r="BX195" s="1059"/>
      <c r="BY195" s="1059"/>
      <c r="BZ195" s="1059"/>
      <c r="CA195" s="1059"/>
      <c r="CB195" s="1059"/>
      <c r="CC195" s="1059"/>
      <c r="CD195" s="1059"/>
      <c r="CE195" s="1059"/>
      <c r="CF195" s="1059"/>
      <c r="CG195" s="1059"/>
      <c r="CH195" s="1059"/>
      <c r="CI195" s="1059"/>
      <c r="CJ195" s="1059"/>
      <c r="CK195" s="1059"/>
      <c r="CL195" s="1059"/>
      <c r="CM195" s="1059"/>
    </row>
    <row r="196" spans="1:91" s="1283" customFormat="1" ht="12.75" customHeight="1" thickBot="1">
      <c r="A196" s="1279"/>
      <c r="B196" s="2267" t="s">
        <v>498</v>
      </c>
      <c r="C196" s="2267"/>
      <c r="D196" s="1280"/>
      <c r="E196" s="1279"/>
      <c r="F196" s="1279"/>
      <c r="G196" s="1279"/>
      <c r="H196" s="1279"/>
      <c r="I196" s="1279"/>
      <c r="J196" s="1279"/>
      <c r="K196" s="1279"/>
      <c r="L196" s="1281"/>
      <c r="M196" s="1282"/>
      <c r="N196" s="1282"/>
      <c r="O196" s="1282"/>
      <c r="P196" s="1282"/>
      <c r="Q196" s="1282"/>
      <c r="R196" s="1282"/>
      <c r="S196" s="1282"/>
      <c r="T196" s="1282"/>
      <c r="U196" s="1282"/>
      <c r="V196" s="1282"/>
      <c r="W196" s="1282"/>
      <c r="X196" s="1282"/>
      <c r="Y196" s="1282"/>
      <c r="Z196" s="1282"/>
      <c r="AA196" s="1282"/>
      <c r="AB196" s="1282"/>
      <c r="AC196" s="1282"/>
      <c r="AD196" s="1282"/>
      <c r="AE196" s="1282"/>
      <c r="AF196" s="1282"/>
      <c r="AG196" s="1282"/>
      <c r="AH196" s="1282"/>
      <c r="AI196" s="1282"/>
      <c r="AJ196" s="1282"/>
      <c r="AK196" s="1282"/>
      <c r="AL196" s="1282"/>
      <c r="AM196" s="1282"/>
      <c r="AN196" s="1282"/>
      <c r="AO196" s="1282"/>
      <c r="AP196" s="1282"/>
      <c r="AQ196" s="1282"/>
      <c r="AR196" s="1282"/>
      <c r="AS196" s="1282"/>
      <c r="AT196" s="1282"/>
      <c r="AU196" s="1282"/>
      <c r="AV196" s="1282"/>
      <c r="AW196" s="1282"/>
      <c r="AX196" s="1282"/>
      <c r="AY196" s="1282"/>
      <c r="AZ196" s="1282"/>
      <c r="BA196" s="1282"/>
      <c r="BB196" s="1282"/>
      <c r="BC196" s="1282"/>
      <c r="BD196" s="1282"/>
      <c r="BE196" s="1282"/>
      <c r="BF196" s="1282"/>
      <c r="BG196" s="1282"/>
      <c r="BH196" s="1282"/>
      <c r="BI196" s="1282"/>
      <c r="BJ196" s="1282"/>
      <c r="BK196" s="1282"/>
      <c r="BL196" s="1282"/>
      <c r="BM196" s="1282"/>
      <c r="BN196" s="1282"/>
      <c r="BO196" s="1282"/>
      <c r="BP196" s="1282"/>
      <c r="BQ196" s="1282"/>
      <c r="BR196" s="1282"/>
      <c r="BS196" s="1282"/>
      <c r="BT196" s="1282"/>
      <c r="BU196" s="1282"/>
      <c r="BV196" s="1282"/>
      <c r="BW196" s="1282"/>
      <c r="BX196" s="1282"/>
      <c r="BY196" s="1282"/>
      <c r="BZ196" s="1282"/>
      <c r="CA196" s="1282"/>
      <c r="CB196" s="1282"/>
      <c r="CC196" s="1282"/>
      <c r="CD196" s="1282"/>
      <c r="CE196" s="1282"/>
      <c r="CF196" s="1282"/>
      <c r="CG196" s="1282"/>
      <c r="CH196" s="1282"/>
      <c r="CI196" s="1282"/>
      <c r="CJ196" s="1282"/>
      <c r="CK196" s="1282"/>
      <c r="CL196" s="1282"/>
      <c r="CM196" s="1282"/>
    </row>
    <row r="197" spans="1:91" s="1289" customFormat="1" ht="16.2" thickBot="1">
      <c r="A197" s="1284">
        <v>1</v>
      </c>
      <c r="B197" s="2267"/>
      <c r="C197" s="2267"/>
      <c r="D197" s="1285"/>
      <c r="E197" s="1286">
        <f>'Pl 2014-17 PFC MF'!E606</f>
        <v>339916000</v>
      </c>
      <c r="F197" s="1286"/>
      <c r="G197" s="1286">
        <f>'Pl 2014-17 PFC MF'!G606</f>
        <v>198328000</v>
      </c>
      <c r="H197" s="1286"/>
      <c r="I197" s="1286">
        <f>'Pl 2014-17 PFC MF'!I606</f>
        <v>0</v>
      </c>
      <c r="J197" s="1286">
        <f>'Pl 2014-17 PFC MF'!J606</f>
        <v>198328000</v>
      </c>
      <c r="K197" s="1286">
        <f>'Pl 2014-17 PFC MF'!K606</f>
        <v>459302000</v>
      </c>
      <c r="L197" s="1287">
        <f>G197/E197%</f>
        <v>58.34617964438273</v>
      </c>
      <c r="M197" s="1282"/>
      <c r="N197" s="1282"/>
      <c r="O197" s="1282"/>
      <c r="P197" s="1282"/>
      <c r="Q197" s="1282"/>
      <c r="R197" s="1282"/>
      <c r="S197" s="1282"/>
      <c r="T197" s="1282"/>
      <c r="U197" s="1282"/>
      <c r="V197" s="1282"/>
      <c r="W197" s="1282"/>
      <c r="X197" s="1282"/>
      <c r="Y197" s="1282"/>
      <c r="Z197" s="1282"/>
      <c r="AA197" s="1288">
        <f>E117</f>
        <v>340014874</v>
      </c>
      <c r="AB197" s="1288"/>
      <c r="AC197" s="1288"/>
      <c r="AD197" s="1288">
        <f>H117</f>
        <v>167124739</v>
      </c>
      <c r="AE197" s="1288">
        <f>I117</f>
        <v>145381175</v>
      </c>
      <c r="AF197" s="1288">
        <f>J117</f>
        <v>239998325</v>
      </c>
      <c r="AG197" s="1288">
        <f>K117</f>
        <v>459401702</v>
      </c>
      <c r="AH197" s="1288"/>
      <c r="AI197" s="1282"/>
      <c r="AJ197" s="1282"/>
      <c r="AK197" s="1282"/>
      <c r="AL197" s="1282"/>
      <c r="AM197" s="1282"/>
      <c r="AN197" s="1282"/>
      <c r="AO197" s="1282"/>
      <c r="AP197" s="1282"/>
      <c r="AQ197" s="1282"/>
      <c r="AR197" s="1282"/>
      <c r="AS197" s="1282"/>
      <c r="AT197" s="1282"/>
      <c r="AU197" s="1282"/>
      <c r="AV197" s="1282"/>
      <c r="AW197" s="1282"/>
      <c r="AX197" s="1282"/>
      <c r="AY197" s="1282"/>
      <c r="AZ197" s="1282"/>
      <c r="BA197" s="1282"/>
      <c r="BB197" s="1282"/>
      <c r="BC197" s="1282"/>
      <c r="BD197" s="1282"/>
      <c r="BE197" s="1282"/>
      <c r="BF197" s="1282"/>
      <c r="BG197" s="1282"/>
      <c r="BH197" s="1282"/>
      <c r="BI197" s="1282"/>
      <c r="BJ197" s="1282"/>
      <c r="BK197" s="1282"/>
      <c r="BL197" s="1282"/>
      <c r="BM197" s="1282"/>
      <c r="BN197" s="1282"/>
      <c r="BO197" s="1282"/>
      <c r="BP197" s="1282"/>
      <c r="BQ197" s="1282"/>
      <c r="BR197" s="1282"/>
      <c r="BS197" s="1282"/>
      <c r="BT197" s="1282"/>
      <c r="BU197" s="1282"/>
      <c r="BV197" s="1282"/>
      <c r="BW197" s="1282"/>
      <c r="BX197" s="1282"/>
      <c r="BY197" s="1282"/>
      <c r="BZ197" s="1282"/>
      <c r="CA197" s="1282"/>
      <c r="CB197" s="1282"/>
      <c r="CC197" s="1282"/>
      <c r="CD197" s="1282"/>
      <c r="CE197" s="1282"/>
      <c r="CF197" s="1282"/>
      <c r="CG197" s="1282"/>
      <c r="CH197" s="1282"/>
      <c r="CI197" s="1282"/>
      <c r="CJ197" s="1282"/>
      <c r="CK197" s="1282"/>
      <c r="CL197" s="1282"/>
      <c r="CM197" s="1282"/>
    </row>
    <row r="198" spans="1:91">
      <c r="A198" s="1270" t="s">
        <v>16</v>
      </c>
      <c r="B198" s="1290" t="s">
        <v>324</v>
      </c>
      <c r="C198" s="1291"/>
      <c r="D198" s="1272"/>
      <c r="E198" s="1292">
        <f>'Pl 2014-17 PFC MF'!E607</f>
        <v>239916000</v>
      </c>
      <c r="F198" s="1292"/>
      <c r="G198" s="1292">
        <f>'Pl 2014-17 PFC MF'!G607</f>
        <v>198328000</v>
      </c>
      <c r="H198" s="1292"/>
      <c r="I198" s="1292">
        <f>'Pl 2014-17 PFC MF'!I607</f>
        <v>0</v>
      </c>
      <c r="J198" s="1292">
        <f>'Pl 2014-17 PFC MF'!J607</f>
        <v>198328000</v>
      </c>
      <c r="K198" s="1292">
        <f>'Pl 2014-17 PFC MF'!K607</f>
        <v>259302000</v>
      </c>
      <c r="L198" s="1293">
        <f>G198/E198%</f>
        <v>82.665599626535951</v>
      </c>
      <c r="AA198" s="1294">
        <f>AA197-100000</f>
        <v>339914874</v>
      </c>
      <c r="AB198" s="1294"/>
      <c r="AC198" s="1294"/>
      <c r="AD198" s="1294">
        <f>AD197-100000</f>
        <v>167024739</v>
      </c>
      <c r="AE198" s="1294">
        <f>AE197-100000</f>
        <v>145281175</v>
      </c>
      <c r="AF198" s="1294">
        <f>AF197-100000</f>
        <v>239898325</v>
      </c>
      <c r="AG198" s="1294">
        <f>AG197-100000</f>
        <v>459301702</v>
      </c>
    </row>
    <row r="199" spans="1:91" ht="16.2" thickBot="1">
      <c r="A199" s="1274" t="s">
        <v>17</v>
      </c>
      <c r="B199" s="1295" t="s">
        <v>326</v>
      </c>
      <c r="C199" s="1296"/>
      <c r="D199" s="1296"/>
      <c r="E199" s="1297">
        <f>'Pl 2014-17 PFC MF'!E608</f>
        <v>100000000</v>
      </c>
      <c r="F199" s="1277"/>
      <c r="G199" s="1277"/>
      <c r="H199" s="1277"/>
      <c r="I199" s="1277"/>
      <c r="J199" s="1297"/>
      <c r="K199" s="1297">
        <f>'Pl 2014-17 PFC MF'!K608</f>
        <v>200000000</v>
      </c>
      <c r="L199" s="1298">
        <f>G199/E199%</f>
        <v>0</v>
      </c>
      <c r="AA199" s="1294">
        <f>E197-AA198</f>
        <v>1126</v>
      </c>
      <c r="AB199" s="1294"/>
      <c r="AC199" s="1294"/>
      <c r="AD199" s="1294">
        <f>G197-AD198</f>
        <v>31303261</v>
      </c>
      <c r="AE199" s="1294">
        <f>I197-AE198</f>
        <v>-145281175</v>
      </c>
      <c r="AF199" s="1294">
        <f>J197-AF198</f>
        <v>-41570325</v>
      </c>
      <c r="AG199" s="1294">
        <f>K197-AG198</f>
        <v>298</v>
      </c>
    </row>
    <row r="200" spans="1:91">
      <c r="E200" s="1301"/>
      <c r="F200" s="1301"/>
      <c r="G200" s="1301"/>
      <c r="H200" s="1301"/>
      <c r="I200" s="1301"/>
      <c r="J200" s="1301"/>
      <c r="K200" s="1301"/>
      <c r="L200" s="981"/>
    </row>
    <row r="201" spans="1:91" s="1058" customFormat="1">
      <c r="A201" s="1069" t="s">
        <v>499</v>
      </c>
      <c r="B201" s="1302" t="s">
        <v>657</v>
      </c>
      <c r="C201" s="1303">
        <f>E43</f>
        <v>29870000</v>
      </c>
      <c r="D201" s="1303"/>
      <c r="E201" s="1302" t="s">
        <v>502</v>
      </c>
      <c r="F201" s="1302"/>
      <c r="G201" s="1302"/>
      <c r="H201" s="1302"/>
      <c r="I201" s="1302"/>
      <c r="J201" s="1302"/>
      <c r="K201" s="1070"/>
      <c r="L201" s="981"/>
      <c r="AN201" s="1059"/>
      <c r="AO201" s="1059"/>
      <c r="AP201" s="1056"/>
      <c r="AQ201" s="1056"/>
      <c r="AR201" s="1056"/>
      <c r="AS201" s="1056"/>
      <c r="AT201" s="1056"/>
      <c r="AU201" s="1056"/>
      <c r="AV201" s="1056"/>
      <c r="AW201" s="1056"/>
      <c r="AX201" s="1056"/>
      <c r="AY201" s="1056"/>
      <c r="AZ201" s="1056"/>
      <c r="BA201" s="1056"/>
      <c r="BB201" s="1056"/>
      <c r="BC201" s="1056"/>
      <c r="BD201" s="1056"/>
      <c r="BE201" s="1056"/>
      <c r="BF201" s="1056"/>
      <c r="BG201" s="1056"/>
      <c r="BH201" s="1056"/>
      <c r="BI201" s="1056"/>
      <c r="BJ201" s="1056"/>
      <c r="BK201" s="1056"/>
      <c r="BL201" s="1056"/>
      <c r="BM201" s="1056"/>
      <c r="BN201" s="1056"/>
      <c r="BO201" s="1056"/>
      <c r="BP201" s="1056"/>
      <c r="BQ201" s="1056"/>
      <c r="BR201" s="1056"/>
      <c r="BS201" s="1056"/>
      <c r="BT201" s="1056"/>
      <c r="BU201" s="1056"/>
      <c r="BV201" s="1056"/>
      <c r="BW201" s="1056"/>
      <c r="BX201" s="1056"/>
      <c r="BY201" s="1056"/>
      <c r="BZ201" s="1056"/>
      <c r="CA201" s="1056"/>
      <c r="CB201" s="1056"/>
      <c r="CC201" s="1056"/>
      <c r="CD201" s="1056"/>
      <c r="CE201" s="1056"/>
      <c r="CF201" s="1056"/>
      <c r="CG201" s="1056"/>
      <c r="CH201" s="1056"/>
      <c r="CI201" s="1056"/>
      <c r="CJ201" s="1056"/>
      <c r="CK201" s="1056"/>
      <c r="CL201" s="1056"/>
      <c r="CM201" s="1056"/>
    </row>
    <row r="202" spans="1:91" s="1058" customFormat="1">
      <c r="A202" s="1069" t="s">
        <v>499</v>
      </c>
      <c r="B202" s="1302" t="s">
        <v>507</v>
      </c>
      <c r="C202" s="1303">
        <f>F43</f>
        <v>45900000</v>
      </c>
      <c r="D202" s="1303"/>
      <c r="E202" s="1302" t="s">
        <v>502</v>
      </c>
      <c r="F202" s="1302"/>
      <c r="G202" s="1302"/>
      <c r="H202" s="1302"/>
      <c r="I202" s="1302"/>
      <c r="J202" s="1302"/>
      <c r="K202" s="1070"/>
      <c r="L202" s="981"/>
      <c r="AN202" s="1059"/>
      <c r="AO202" s="1059"/>
      <c r="AP202" s="1056"/>
      <c r="AQ202" s="1056"/>
      <c r="AR202" s="1056"/>
      <c r="AS202" s="1056"/>
      <c r="AT202" s="1056"/>
      <c r="AU202" s="1056"/>
      <c r="AV202" s="1056"/>
      <c r="AW202" s="1056"/>
      <c r="AX202" s="1056"/>
      <c r="AY202" s="1056"/>
      <c r="AZ202" s="1056"/>
      <c r="BA202" s="1056"/>
      <c r="BB202" s="1056"/>
      <c r="BC202" s="1056"/>
      <c r="BD202" s="1056"/>
      <c r="BE202" s="1056"/>
      <c r="BF202" s="1056"/>
      <c r="BG202" s="1056"/>
      <c r="BH202" s="1056"/>
      <c r="BI202" s="1056"/>
      <c r="BJ202" s="1056"/>
      <c r="BK202" s="1056"/>
      <c r="BL202" s="1056"/>
      <c r="BM202" s="1056"/>
      <c r="BN202" s="1056"/>
      <c r="BO202" s="1056"/>
      <c r="BP202" s="1056"/>
      <c r="BQ202" s="1056"/>
      <c r="BR202" s="1056"/>
      <c r="BS202" s="1056"/>
      <c r="BT202" s="1056"/>
      <c r="BU202" s="1056"/>
      <c r="BV202" s="1056"/>
      <c r="BW202" s="1056"/>
      <c r="BX202" s="1056"/>
      <c r="BY202" s="1056"/>
      <c r="BZ202" s="1056"/>
      <c r="CA202" s="1056"/>
      <c r="CB202" s="1056"/>
      <c r="CC202" s="1056"/>
      <c r="CD202" s="1056"/>
      <c r="CE202" s="1056"/>
      <c r="CF202" s="1056"/>
      <c r="CG202" s="1056"/>
      <c r="CH202" s="1056"/>
      <c r="CI202" s="1056"/>
      <c r="CJ202" s="1056"/>
      <c r="CK202" s="1056"/>
      <c r="CL202" s="1056"/>
      <c r="CM202" s="1056"/>
    </row>
    <row r="203" spans="1:91" s="1058" customFormat="1">
      <c r="A203" s="1069" t="s">
        <v>499</v>
      </c>
      <c r="B203" s="1302" t="s">
        <v>508</v>
      </c>
      <c r="C203" s="1303">
        <f>I43</f>
        <v>42020000</v>
      </c>
      <c r="D203" s="1303"/>
      <c r="E203" s="1302" t="s">
        <v>502</v>
      </c>
      <c r="F203" s="1302"/>
      <c r="G203" s="1302"/>
      <c r="H203" s="1302"/>
      <c r="I203" s="1302"/>
      <c r="J203" s="1302"/>
      <c r="K203" s="1056"/>
      <c r="L203" s="981"/>
      <c r="AN203" s="1059"/>
      <c r="AO203" s="1059"/>
      <c r="AP203" s="1056"/>
      <c r="AQ203" s="1056"/>
      <c r="AR203" s="1056"/>
      <c r="AS203" s="1056"/>
      <c r="AT203" s="1056"/>
      <c r="AU203" s="1056"/>
      <c r="AV203" s="1056"/>
      <c r="AW203" s="1056"/>
      <c r="AX203" s="1056"/>
      <c r="AY203" s="1056"/>
      <c r="AZ203" s="1056"/>
      <c r="BA203" s="1056"/>
      <c r="BB203" s="1056"/>
      <c r="BC203" s="1056"/>
      <c r="BD203" s="1056"/>
      <c r="BE203" s="1056"/>
      <c r="BF203" s="1056"/>
      <c r="BG203" s="1056"/>
      <c r="BH203" s="1056"/>
      <c r="BI203" s="1056"/>
      <c r="BJ203" s="1056"/>
      <c r="BK203" s="1056"/>
      <c r="BL203" s="1056"/>
      <c r="BM203" s="1056"/>
      <c r="BN203" s="1056"/>
      <c r="BO203" s="1056"/>
      <c r="BP203" s="1056"/>
      <c r="BQ203" s="1056"/>
      <c r="BR203" s="1056"/>
      <c r="BS203" s="1056"/>
      <c r="BT203" s="1056"/>
      <c r="BU203" s="1056"/>
      <c r="BV203" s="1056"/>
      <c r="BW203" s="1056"/>
      <c r="BX203" s="1056"/>
      <c r="BY203" s="1056"/>
      <c r="BZ203" s="1056"/>
      <c r="CA203" s="1056"/>
      <c r="CB203" s="1056"/>
      <c r="CC203" s="1056"/>
      <c r="CD203" s="1056"/>
      <c r="CE203" s="1056"/>
      <c r="CF203" s="1056"/>
      <c r="CG203" s="1056"/>
      <c r="CH203" s="1056"/>
      <c r="CI203" s="1056"/>
      <c r="CJ203" s="1056"/>
      <c r="CK203" s="1056"/>
      <c r="CL203" s="1056"/>
      <c r="CM203" s="1056"/>
    </row>
    <row r="204" spans="1:91" s="1058" customFormat="1">
      <c r="A204" s="1069" t="s">
        <v>499</v>
      </c>
      <c r="B204" s="1302" t="s">
        <v>658</v>
      </c>
      <c r="C204" s="1303">
        <f>J43</f>
        <v>32050000</v>
      </c>
      <c r="D204" s="1303"/>
      <c r="E204" s="1302" t="s">
        <v>502</v>
      </c>
      <c r="F204" s="1302"/>
      <c r="G204" s="1302"/>
      <c r="H204" s="1302"/>
      <c r="I204" s="1302"/>
      <c r="J204" s="1302"/>
      <c r="K204" s="1056"/>
      <c r="L204" s="981"/>
      <c r="AN204" s="1059"/>
      <c r="AO204" s="1059"/>
      <c r="AP204" s="1056"/>
      <c r="AQ204" s="1056"/>
      <c r="AR204" s="1056"/>
      <c r="AS204" s="1056"/>
      <c r="AT204" s="1056"/>
      <c r="AU204" s="1056"/>
      <c r="AV204" s="1056"/>
      <c r="AW204" s="1056"/>
      <c r="AX204" s="1056"/>
      <c r="AY204" s="1056"/>
      <c r="AZ204" s="1056"/>
      <c r="BA204" s="1056"/>
      <c r="BB204" s="1056"/>
      <c r="BC204" s="1056"/>
      <c r="BD204" s="1056"/>
      <c r="BE204" s="1056"/>
      <c r="BF204" s="1056"/>
      <c r="BG204" s="1056"/>
      <c r="BH204" s="1056"/>
      <c r="BI204" s="1056"/>
      <c r="BJ204" s="1056"/>
      <c r="BK204" s="1056"/>
      <c r="BL204" s="1056"/>
      <c r="BM204" s="1056"/>
      <c r="BN204" s="1056"/>
      <c r="BO204" s="1056"/>
      <c r="BP204" s="1056"/>
      <c r="BQ204" s="1056"/>
      <c r="BR204" s="1056"/>
      <c r="BS204" s="1056"/>
      <c r="BT204" s="1056"/>
      <c r="BU204" s="1056"/>
      <c r="BV204" s="1056"/>
      <c r="BW204" s="1056"/>
      <c r="BX204" s="1056"/>
      <c r="BY204" s="1056"/>
      <c r="BZ204" s="1056"/>
      <c r="CA204" s="1056"/>
      <c r="CB204" s="1056"/>
      <c r="CC204" s="1056"/>
      <c r="CD204" s="1056"/>
      <c r="CE204" s="1056"/>
      <c r="CF204" s="1056"/>
      <c r="CG204" s="1056"/>
      <c r="CH204" s="1056"/>
      <c r="CI204" s="1056"/>
      <c r="CJ204" s="1056"/>
      <c r="CK204" s="1056"/>
      <c r="CL204" s="1056"/>
      <c r="CM204" s="1056"/>
    </row>
    <row r="205" spans="1:91" s="1058" customFormat="1">
      <c r="A205" s="1069" t="s">
        <v>499</v>
      </c>
      <c r="B205" s="1302" t="s">
        <v>1053</v>
      </c>
      <c r="C205" s="1303">
        <f>K43</f>
        <v>21670000</v>
      </c>
      <c r="D205" s="1303"/>
      <c r="E205" s="1302" t="s">
        <v>502</v>
      </c>
      <c r="F205" s="1056"/>
      <c r="G205" s="1056"/>
      <c r="H205" s="1056"/>
      <c r="I205" s="1056"/>
      <c r="J205" s="1056"/>
      <c r="K205" s="1056"/>
      <c r="L205" s="981"/>
      <c r="AN205" s="1059"/>
      <c r="AO205" s="1059"/>
      <c r="AP205" s="1056"/>
      <c r="AQ205" s="1056"/>
      <c r="AR205" s="1056"/>
      <c r="AS205" s="1056"/>
      <c r="AT205" s="1056"/>
      <c r="AU205" s="1056"/>
      <c r="AV205" s="1056"/>
      <c r="AW205" s="1056"/>
      <c r="AX205" s="1056"/>
      <c r="AY205" s="1056"/>
      <c r="AZ205" s="1056"/>
      <c r="BA205" s="1056"/>
      <c r="BB205" s="1056"/>
      <c r="BC205" s="1056"/>
      <c r="BD205" s="1056"/>
      <c r="BE205" s="1056"/>
      <c r="BF205" s="1056"/>
      <c r="BG205" s="1056"/>
      <c r="BH205" s="1056"/>
      <c r="BI205" s="1056"/>
      <c r="BJ205" s="1056"/>
      <c r="BK205" s="1056"/>
      <c r="BL205" s="1056"/>
      <c r="BM205" s="1056"/>
      <c r="BN205" s="1056"/>
      <c r="BO205" s="1056"/>
      <c r="BP205" s="1056"/>
      <c r="BQ205" s="1056"/>
      <c r="BR205" s="1056"/>
      <c r="BS205" s="1056"/>
      <c r="BT205" s="1056"/>
      <c r="BU205" s="1056"/>
      <c r="BV205" s="1056"/>
      <c r="BW205" s="1056"/>
      <c r="BX205" s="1056"/>
      <c r="BY205" s="1056"/>
      <c r="BZ205" s="1056"/>
      <c r="CA205" s="1056"/>
      <c r="CB205" s="1056"/>
      <c r="CC205" s="1056"/>
      <c r="CD205" s="1056"/>
      <c r="CE205" s="1056"/>
      <c r="CF205" s="1056"/>
      <c r="CG205" s="1056"/>
      <c r="CH205" s="1056"/>
      <c r="CI205" s="1056"/>
      <c r="CJ205" s="1056"/>
      <c r="CK205" s="1056"/>
      <c r="CL205" s="1056"/>
      <c r="CM205" s="1056"/>
    </row>
    <row r="206" spans="1:91" s="1058" customFormat="1">
      <c r="A206" s="1069"/>
      <c r="B206" s="1302"/>
      <c r="C206" s="1303"/>
      <c r="D206" s="1303"/>
      <c r="E206" s="1302"/>
      <c r="F206" s="1056"/>
      <c r="G206" s="1056"/>
      <c r="H206" s="1056"/>
      <c r="I206" s="1056"/>
      <c r="J206" s="1056"/>
      <c r="K206" s="1056"/>
      <c r="L206" s="981"/>
      <c r="P206" s="1058" t="s">
        <v>565</v>
      </c>
      <c r="AN206" s="1059"/>
      <c r="AO206" s="1059"/>
      <c r="AP206" s="1056"/>
      <c r="AQ206" s="1056"/>
      <c r="AR206" s="1056"/>
      <c r="AS206" s="1056"/>
      <c r="AT206" s="1056"/>
      <c r="AU206" s="1056"/>
      <c r="AV206" s="1056"/>
      <c r="AW206" s="1056"/>
      <c r="AX206" s="1056"/>
      <c r="AY206" s="1056"/>
      <c r="AZ206" s="1056"/>
      <c r="BA206" s="1056"/>
      <c r="BB206" s="1056"/>
      <c r="BC206" s="1056"/>
      <c r="BD206" s="1056"/>
      <c r="BE206" s="1056"/>
      <c r="BF206" s="1056"/>
      <c r="BG206" s="1056"/>
      <c r="BH206" s="1056"/>
      <c r="BI206" s="1056"/>
      <c r="BJ206" s="1056"/>
      <c r="BK206" s="1056"/>
      <c r="BL206" s="1056"/>
      <c r="BM206" s="1056"/>
      <c r="BN206" s="1056"/>
      <c r="BO206" s="1056"/>
      <c r="BP206" s="1056"/>
      <c r="BQ206" s="1056"/>
      <c r="BR206" s="1056"/>
      <c r="BS206" s="1056"/>
      <c r="BT206" s="1056"/>
      <c r="BU206" s="1056"/>
      <c r="BV206" s="1056"/>
      <c r="BW206" s="1056"/>
      <c r="BX206" s="1056"/>
      <c r="BY206" s="1056"/>
      <c r="BZ206" s="1056"/>
      <c r="CA206" s="1056"/>
      <c r="CB206" s="1056"/>
      <c r="CC206" s="1056"/>
      <c r="CD206" s="1056"/>
      <c r="CE206" s="1056"/>
      <c r="CF206" s="1056"/>
      <c r="CG206" s="1056"/>
      <c r="CH206" s="1056"/>
      <c r="CI206" s="1056"/>
      <c r="CJ206" s="1056"/>
      <c r="CK206" s="1056"/>
      <c r="CL206" s="1056"/>
      <c r="CM206" s="1056"/>
    </row>
    <row r="207" spans="1:91" s="1058" customFormat="1" ht="18.600000000000001" thickBot="1">
      <c r="A207" s="1304" t="s">
        <v>1041</v>
      </c>
      <c r="B207" s="1305"/>
      <c r="C207" s="1306"/>
      <c r="D207" s="1306"/>
      <c r="E207" s="1307"/>
      <c r="F207" s="1042"/>
      <c r="G207" s="1042"/>
      <c r="H207" s="1042"/>
      <c r="I207" s="1042"/>
      <c r="J207" s="1042"/>
      <c r="K207" s="1042"/>
      <c r="L207" s="981"/>
      <c r="AN207" s="1059"/>
      <c r="AO207" s="1059"/>
      <c r="AP207" s="1056"/>
      <c r="AQ207" s="1056"/>
      <c r="AR207" s="1056"/>
      <c r="AS207" s="1056"/>
      <c r="AT207" s="1056"/>
      <c r="AU207" s="1056"/>
      <c r="AV207" s="1056"/>
      <c r="AW207" s="1056"/>
      <c r="AX207" s="1056"/>
      <c r="AY207" s="1056"/>
      <c r="AZ207" s="1056"/>
      <c r="BA207" s="1056"/>
      <c r="BB207" s="1056"/>
      <c r="BC207" s="1056"/>
      <c r="BD207" s="1056"/>
      <c r="BE207" s="1056"/>
      <c r="BF207" s="1056"/>
      <c r="BG207" s="1056"/>
      <c r="BH207" s="1056"/>
      <c r="BI207" s="1056"/>
      <c r="BJ207" s="1056"/>
      <c r="BK207" s="1056"/>
      <c r="BL207" s="1056"/>
      <c r="BM207" s="1056"/>
      <c r="BN207" s="1056"/>
      <c r="BO207" s="1056"/>
      <c r="BP207" s="1056"/>
      <c r="BQ207" s="1056"/>
      <c r="BR207" s="1056"/>
      <c r="BS207" s="1056"/>
      <c r="BT207" s="1056"/>
      <c r="BU207" s="1056"/>
      <c r="BV207" s="1056"/>
      <c r="BW207" s="1056"/>
      <c r="BX207" s="1056"/>
      <c r="BY207" s="1056"/>
      <c r="BZ207" s="1056"/>
      <c r="CA207" s="1056"/>
      <c r="CB207" s="1056"/>
      <c r="CC207" s="1056"/>
      <c r="CD207" s="1056"/>
      <c r="CE207" s="1056"/>
      <c r="CF207" s="1056"/>
      <c r="CG207" s="1056"/>
      <c r="CH207" s="1056"/>
      <c r="CI207" s="1056"/>
      <c r="CJ207" s="1056"/>
      <c r="CK207" s="1056"/>
      <c r="CL207" s="1056"/>
      <c r="CM207" s="1056"/>
    </row>
    <row r="208" spans="1:91" s="1058" customFormat="1">
      <c r="A208" s="1308"/>
      <c r="B208" s="1308"/>
      <c r="C208" s="1308"/>
      <c r="D208" s="1309" t="s">
        <v>1019</v>
      </c>
      <c r="E208" s="1310" t="s">
        <v>1019</v>
      </c>
      <c r="F208" s="1311" t="s">
        <v>1020</v>
      </c>
      <c r="G208" s="1312" t="s">
        <v>1020</v>
      </c>
      <c r="H208" s="1042"/>
      <c r="I208" s="1311" t="s">
        <v>1021</v>
      </c>
      <c r="J208" s="1311" t="s">
        <v>1021</v>
      </c>
      <c r="K208" s="1311" t="s">
        <v>1021</v>
      </c>
      <c r="L208" s="1313" t="s">
        <v>1021</v>
      </c>
      <c r="AN208" s="1059"/>
      <c r="AO208" s="1059"/>
      <c r="AP208" s="1056"/>
      <c r="AQ208" s="1056"/>
      <c r="AR208" s="1056"/>
      <c r="AS208" s="1056"/>
      <c r="AT208" s="1056"/>
      <c r="AU208" s="1056"/>
      <c r="AV208" s="1056"/>
      <c r="AW208" s="1056"/>
      <c r="AX208" s="1056"/>
      <c r="AY208" s="1056"/>
      <c r="AZ208" s="1056"/>
      <c r="BA208" s="1056"/>
      <c r="BB208" s="1056"/>
      <c r="BC208" s="1056"/>
      <c r="BD208" s="1056"/>
      <c r="BE208" s="1056"/>
      <c r="BF208" s="1056"/>
      <c r="BG208" s="1056"/>
      <c r="BH208" s="1056"/>
      <c r="BI208" s="1056"/>
      <c r="BJ208" s="1056"/>
      <c r="BK208" s="1056"/>
      <c r="BL208" s="1056"/>
      <c r="BM208" s="1056"/>
      <c r="BN208" s="1056"/>
      <c r="BO208" s="1056"/>
      <c r="BP208" s="1056"/>
      <c r="BQ208" s="1056"/>
      <c r="BR208" s="1056"/>
      <c r="BS208" s="1056"/>
      <c r="BT208" s="1056"/>
      <c r="BU208" s="1056"/>
      <c r="BV208" s="1056"/>
      <c r="BW208" s="1056"/>
      <c r="BX208" s="1056"/>
      <c r="BY208" s="1056"/>
      <c r="BZ208" s="1056"/>
      <c r="CA208" s="1056"/>
      <c r="CB208" s="1056"/>
      <c r="CC208" s="1056"/>
      <c r="CD208" s="1056"/>
      <c r="CE208" s="1056"/>
      <c r="CF208" s="1056"/>
      <c r="CG208" s="1056"/>
      <c r="CH208" s="1056"/>
      <c r="CI208" s="1056"/>
      <c r="CJ208" s="1056"/>
      <c r="CK208" s="1056"/>
      <c r="CL208" s="1056"/>
      <c r="CM208" s="1056"/>
    </row>
    <row r="209" spans="1:91" s="1058" customFormat="1" ht="43.2">
      <c r="A209" s="1314" t="s">
        <v>7</v>
      </c>
      <c r="B209" s="1314" t="s">
        <v>489</v>
      </c>
      <c r="C209" s="1314" t="s">
        <v>1035</v>
      </c>
      <c r="D209" s="1314" t="s">
        <v>1022</v>
      </c>
      <c r="E209" s="1315" t="s">
        <v>1022</v>
      </c>
      <c r="F209" s="1316" t="s">
        <v>1023</v>
      </c>
      <c r="G209" s="1317" t="s">
        <v>1023</v>
      </c>
      <c r="H209" s="1042"/>
      <c r="I209" s="1318" t="s">
        <v>1024</v>
      </c>
      <c r="J209" s="1318" t="s">
        <v>1024</v>
      </c>
      <c r="K209" s="1318" t="s">
        <v>1024</v>
      </c>
      <c r="L209" s="1319" t="s">
        <v>1024</v>
      </c>
      <c r="AN209" s="1059"/>
      <c r="AO209" s="1059"/>
      <c r="AP209" s="1056"/>
      <c r="AQ209" s="1056"/>
      <c r="AR209" s="1056"/>
      <c r="AS209" s="1056"/>
      <c r="AT209" s="1056"/>
      <c r="AU209" s="1056"/>
      <c r="AV209" s="1056"/>
      <c r="AW209" s="1056"/>
      <c r="AX209" s="1056"/>
      <c r="AY209" s="1056"/>
      <c r="AZ209" s="1056"/>
      <c r="BA209" s="1056"/>
      <c r="BB209" s="1056"/>
      <c r="BC209" s="1056"/>
      <c r="BD209" s="1056"/>
      <c r="BE209" s="1056"/>
      <c r="BF209" s="1056"/>
      <c r="BG209" s="1056"/>
      <c r="BH209" s="1056"/>
      <c r="BI209" s="1056"/>
      <c r="BJ209" s="1056"/>
      <c r="BK209" s="1056"/>
      <c r="BL209" s="1056"/>
      <c r="BM209" s="1056"/>
      <c r="BN209" s="1056"/>
      <c r="BO209" s="1056"/>
      <c r="BP209" s="1056"/>
      <c r="BQ209" s="1056"/>
      <c r="BR209" s="1056"/>
      <c r="BS209" s="1056"/>
      <c r="BT209" s="1056"/>
      <c r="BU209" s="1056"/>
      <c r="BV209" s="1056"/>
      <c r="BW209" s="1056"/>
      <c r="BX209" s="1056"/>
      <c r="BY209" s="1056"/>
      <c r="BZ209" s="1056"/>
      <c r="CA209" s="1056"/>
      <c r="CB209" s="1056"/>
      <c r="CC209" s="1056"/>
      <c r="CD209" s="1056"/>
      <c r="CE209" s="1056"/>
      <c r="CF209" s="1056"/>
      <c r="CG209" s="1056"/>
      <c r="CH209" s="1056"/>
      <c r="CI209" s="1056"/>
      <c r="CJ209" s="1056"/>
      <c r="CK209" s="1056"/>
      <c r="CL209" s="1056"/>
      <c r="CM209" s="1056"/>
    </row>
    <row r="210" spans="1:91" s="1058" customFormat="1" ht="43.8" thickBot="1">
      <c r="A210" s="1314"/>
      <c r="B210" s="1314"/>
      <c r="C210" s="1320"/>
      <c r="D210" s="1314" t="s">
        <v>1025</v>
      </c>
      <c r="E210" s="1321" t="s">
        <v>1025</v>
      </c>
      <c r="F210" s="1322" t="s">
        <v>1026</v>
      </c>
      <c r="G210" s="1323" t="s">
        <v>1026</v>
      </c>
      <c r="H210" s="1042"/>
      <c r="I210" s="1318" t="s">
        <v>1027</v>
      </c>
      <c r="J210" s="1318" t="s">
        <v>1028</v>
      </c>
      <c r="K210" s="1318" t="s">
        <v>1029</v>
      </c>
      <c r="L210" s="1319" t="s">
        <v>1030</v>
      </c>
      <c r="AN210" s="1059"/>
      <c r="AO210" s="1059"/>
      <c r="AP210" s="1056"/>
      <c r="AQ210" s="1056"/>
      <c r="AR210" s="1056"/>
      <c r="AS210" s="1056"/>
      <c r="AT210" s="1056"/>
      <c r="AU210" s="1056"/>
      <c r="AV210" s="1056"/>
      <c r="AW210" s="1056"/>
      <c r="AX210" s="1056"/>
      <c r="AY210" s="1056"/>
      <c r="AZ210" s="1056"/>
      <c r="BA210" s="1056"/>
      <c r="BB210" s="1056"/>
      <c r="BC210" s="1056"/>
      <c r="BD210" s="1056"/>
      <c r="BE210" s="1056"/>
      <c r="BF210" s="1056"/>
      <c r="BG210" s="1056"/>
      <c r="BH210" s="1056"/>
      <c r="BI210" s="1056"/>
      <c r="BJ210" s="1056"/>
      <c r="BK210" s="1056"/>
      <c r="BL210" s="1056"/>
      <c r="BM210" s="1056"/>
      <c r="BN210" s="1056"/>
      <c r="BO210" s="1056"/>
      <c r="BP210" s="1056"/>
      <c r="BQ210" s="1056"/>
      <c r="BR210" s="1056"/>
      <c r="BS210" s="1056"/>
      <c r="BT210" s="1056"/>
      <c r="BU210" s="1056"/>
      <c r="BV210" s="1056"/>
      <c r="BW210" s="1056"/>
      <c r="BX210" s="1056"/>
      <c r="BY210" s="1056"/>
      <c r="BZ210" s="1056"/>
      <c r="CA210" s="1056"/>
      <c r="CB210" s="1056"/>
      <c r="CC210" s="1056"/>
      <c r="CD210" s="1056"/>
      <c r="CE210" s="1056"/>
      <c r="CF210" s="1056"/>
      <c r="CG210" s="1056"/>
      <c r="CH210" s="1056"/>
      <c r="CI210" s="1056"/>
      <c r="CJ210" s="1056"/>
      <c r="CK210" s="1056"/>
      <c r="CL210" s="1056"/>
      <c r="CM210" s="1056"/>
    </row>
    <row r="211" spans="1:91" s="1058" customFormat="1" ht="16.5" customHeight="1" thickBot="1">
      <c r="A211" s="1324"/>
      <c r="B211" s="1324"/>
      <c r="C211" s="1324"/>
      <c r="D211" s="1325" t="s">
        <v>9</v>
      </c>
      <c r="E211" s="1326"/>
      <c r="F211" s="1326"/>
      <c r="G211" s="1326"/>
      <c r="H211" s="1326"/>
      <c r="I211" s="1326"/>
      <c r="J211" s="1326"/>
      <c r="K211" s="1326"/>
      <c r="L211" s="1327"/>
      <c r="AN211" s="1059"/>
      <c r="AO211" s="1059"/>
      <c r="AP211" s="1056"/>
      <c r="AQ211" s="1056"/>
      <c r="AR211" s="1056"/>
      <c r="AS211" s="1056"/>
      <c r="AT211" s="1056"/>
      <c r="AU211" s="1056"/>
      <c r="AV211" s="1056"/>
      <c r="AW211" s="1056"/>
      <c r="AX211" s="1056"/>
      <c r="AY211" s="1056"/>
      <c r="AZ211" s="1056"/>
      <c r="BA211" s="1056"/>
      <c r="BB211" s="1056"/>
      <c r="BC211" s="1056"/>
      <c r="BD211" s="1056"/>
      <c r="BE211" s="1056"/>
      <c r="BF211" s="1056"/>
      <c r="BG211" s="1056"/>
      <c r="BH211" s="1056"/>
      <c r="BI211" s="1056"/>
      <c r="BJ211" s="1056"/>
      <c r="BK211" s="1056"/>
      <c r="BL211" s="1056"/>
      <c r="BM211" s="1056"/>
      <c r="BN211" s="1056"/>
      <c r="BO211" s="1056"/>
      <c r="BP211" s="1056"/>
      <c r="BQ211" s="1056"/>
      <c r="BR211" s="1056"/>
      <c r="BS211" s="1056"/>
      <c r="BT211" s="1056"/>
      <c r="BU211" s="1056"/>
      <c r="BV211" s="1056"/>
      <c r="BW211" s="1056"/>
      <c r="BX211" s="1056"/>
      <c r="BY211" s="1056"/>
      <c r="BZ211" s="1056"/>
      <c r="CA211" s="1056"/>
      <c r="CB211" s="1056"/>
      <c r="CC211" s="1056"/>
      <c r="CD211" s="1056"/>
      <c r="CE211" s="1056"/>
      <c r="CF211" s="1056"/>
      <c r="CG211" s="1056"/>
      <c r="CH211" s="1056"/>
      <c r="CI211" s="1056"/>
      <c r="CJ211" s="1056"/>
      <c r="CK211" s="1056"/>
      <c r="CL211" s="1056"/>
      <c r="CM211" s="1056"/>
    </row>
    <row r="212" spans="1:91" s="1058" customFormat="1" ht="16.2" thickBot="1">
      <c r="A212" s="1328">
        <v>1</v>
      </c>
      <c r="B212" s="1328">
        <v>2</v>
      </c>
      <c r="C212" s="1328">
        <v>3</v>
      </c>
      <c r="D212" s="1314">
        <v>4</v>
      </c>
      <c r="E212" s="1314">
        <v>4</v>
      </c>
      <c r="F212" s="1314">
        <v>5</v>
      </c>
      <c r="G212" s="1314">
        <v>5</v>
      </c>
      <c r="H212" s="1042"/>
      <c r="I212" s="1314">
        <v>6</v>
      </c>
      <c r="J212" s="1314">
        <v>7</v>
      </c>
      <c r="K212" s="1314">
        <v>8</v>
      </c>
      <c r="L212" s="1318">
        <v>9</v>
      </c>
      <c r="AN212" s="1059"/>
      <c r="AO212" s="1059"/>
      <c r="AP212" s="1056"/>
      <c r="AQ212" s="1056"/>
      <c r="AR212" s="1056"/>
      <c r="AS212" s="1056"/>
      <c r="AT212" s="1056"/>
      <c r="AU212" s="1056"/>
      <c r="AV212" s="1056"/>
      <c r="AW212" s="1056"/>
      <c r="AX212" s="1056"/>
      <c r="AY212" s="1056"/>
      <c r="AZ212" s="1056"/>
      <c r="BA212" s="1056"/>
      <c r="BB212" s="1056"/>
      <c r="BC212" s="1056"/>
      <c r="BD212" s="1056"/>
      <c r="BE212" s="1056"/>
      <c r="BF212" s="1056"/>
      <c r="BG212" s="1056"/>
      <c r="BH212" s="1056"/>
      <c r="BI212" s="1056"/>
      <c r="BJ212" s="1056"/>
      <c r="BK212" s="1056"/>
      <c r="BL212" s="1056"/>
      <c r="BM212" s="1056"/>
      <c r="BN212" s="1056"/>
      <c r="BO212" s="1056"/>
      <c r="BP212" s="1056"/>
      <c r="BQ212" s="1056"/>
      <c r="BR212" s="1056"/>
      <c r="BS212" s="1056"/>
      <c r="BT212" s="1056"/>
      <c r="BU212" s="1056"/>
      <c r="BV212" s="1056"/>
      <c r="BW212" s="1056"/>
      <c r="BX212" s="1056"/>
      <c r="BY212" s="1056"/>
      <c r="BZ212" s="1056"/>
      <c r="CA212" s="1056"/>
      <c r="CB212" s="1056"/>
      <c r="CC212" s="1056"/>
      <c r="CD212" s="1056"/>
      <c r="CE212" s="1056"/>
      <c r="CF212" s="1056"/>
      <c r="CG212" s="1056"/>
      <c r="CH212" s="1056"/>
      <c r="CI212" s="1056"/>
      <c r="CJ212" s="1056"/>
      <c r="CK212" s="1056"/>
      <c r="CL212" s="1056"/>
      <c r="CM212" s="1056"/>
    </row>
    <row r="213" spans="1:91" s="1058" customFormat="1" ht="16.2" thickBot="1">
      <c r="A213" s="1329" t="s">
        <v>515</v>
      </c>
      <c r="B213" s="1330" t="s">
        <v>1039</v>
      </c>
      <c r="C213" s="1329"/>
      <c r="D213" s="1329"/>
      <c r="E213" s="1331">
        <f>'Pl 2014-17 PFC MF'!E631</f>
        <v>46900</v>
      </c>
      <c r="F213" s="1331">
        <f>'Pl 2014-17 PFC MF'!F631</f>
        <v>0</v>
      </c>
      <c r="G213" s="1331">
        <f>'Pl 2014-17 PFC MF'!G631</f>
        <v>46900</v>
      </c>
      <c r="H213" s="1331">
        <f>'Pl 2014-17 PFC MF'!H631</f>
        <v>0</v>
      </c>
      <c r="I213" s="1331"/>
      <c r="J213" s="1331"/>
      <c r="K213" s="1331"/>
      <c r="L213" s="1331"/>
      <c r="AN213" s="1059"/>
      <c r="AO213" s="1059"/>
      <c r="AP213" s="1056"/>
      <c r="AQ213" s="1056"/>
      <c r="AR213" s="1056"/>
      <c r="AS213" s="1056"/>
      <c r="AT213" s="1056"/>
      <c r="AU213" s="1056"/>
      <c r="AV213" s="1056"/>
      <c r="AW213" s="1056"/>
      <c r="AX213" s="1056"/>
      <c r="AY213" s="1056"/>
      <c r="AZ213" s="1056"/>
      <c r="BA213" s="1056"/>
      <c r="BB213" s="1056"/>
      <c r="BC213" s="1056"/>
      <c r="BD213" s="1056"/>
      <c r="BE213" s="1056"/>
      <c r="BF213" s="1056"/>
      <c r="BG213" s="1056"/>
      <c r="BH213" s="1056"/>
      <c r="BI213" s="1056"/>
      <c r="BJ213" s="1056"/>
      <c r="BK213" s="1056"/>
      <c r="BL213" s="1056"/>
      <c r="BM213" s="1056"/>
      <c r="BN213" s="1056"/>
      <c r="BO213" s="1056"/>
      <c r="BP213" s="1056"/>
      <c r="BQ213" s="1056"/>
      <c r="BR213" s="1056"/>
      <c r="BS213" s="1056"/>
      <c r="BT213" s="1056"/>
      <c r="BU213" s="1056"/>
      <c r="BV213" s="1056"/>
      <c r="BW213" s="1056"/>
      <c r="BX213" s="1056"/>
      <c r="BY213" s="1056"/>
      <c r="BZ213" s="1056"/>
      <c r="CA213" s="1056"/>
      <c r="CB213" s="1056"/>
      <c r="CC213" s="1056"/>
      <c r="CD213" s="1056"/>
      <c r="CE213" s="1056"/>
      <c r="CF213" s="1056"/>
      <c r="CG213" s="1056"/>
      <c r="CH213" s="1056"/>
      <c r="CI213" s="1056"/>
      <c r="CJ213" s="1056"/>
      <c r="CK213" s="1056"/>
      <c r="CL213" s="1056"/>
      <c r="CM213" s="1056"/>
    </row>
    <row r="214" spans="1:91" s="1058" customFormat="1">
      <c r="A214" s="1332"/>
      <c r="B214" s="1333" t="s">
        <v>1038</v>
      </c>
      <c r="C214" s="1332"/>
      <c r="D214" s="1332"/>
      <c r="E214" s="1334"/>
      <c r="F214" s="1334"/>
      <c r="G214" s="1334"/>
      <c r="H214" s="1042"/>
      <c r="I214" s="1334"/>
      <c r="J214" s="1334"/>
      <c r="K214" s="1334"/>
      <c r="L214" s="1335"/>
      <c r="AN214" s="1059"/>
      <c r="AO214" s="1059"/>
      <c r="AP214" s="1056"/>
      <c r="AQ214" s="1056"/>
      <c r="AR214" s="1056"/>
      <c r="AS214" s="1056"/>
      <c r="AT214" s="1056"/>
      <c r="AU214" s="1056"/>
      <c r="AV214" s="1056"/>
      <c r="AW214" s="1056"/>
      <c r="AX214" s="1056"/>
      <c r="AY214" s="1056"/>
      <c r="AZ214" s="1056"/>
      <c r="BA214" s="1056"/>
      <c r="BB214" s="1056"/>
      <c r="BC214" s="1056"/>
      <c r="BD214" s="1056"/>
      <c r="BE214" s="1056"/>
      <c r="BF214" s="1056"/>
      <c r="BG214" s="1056"/>
      <c r="BH214" s="1056"/>
      <c r="BI214" s="1056"/>
      <c r="BJ214" s="1056"/>
      <c r="BK214" s="1056"/>
      <c r="BL214" s="1056"/>
      <c r="BM214" s="1056"/>
      <c r="BN214" s="1056"/>
      <c r="BO214" s="1056"/>
      <c r="BP214" s="1056"/>
      <c r="BQ214" s="1056"/>
      <c r="BR214" s="1056"/>
      <c r="BS214" s="1056"/>
      <c r="BT214" s="1056"/>
      <c r="BU214" s="1056"/>
      <c r="BV214" s="1056"/>
      <c r="BW214" s="1056"/>
      <c r="BX214" s="1056"/>
      <c r="BY214" s="1056"/>
      <c r="BZ214" s="1056"/>
      <c r="CA214" s="1056"/>
      <c r="CB214" s="1056"/>
      <c r="CC214" s="1056"/>
      <c r="CD214" s="1056"/>
      <c r="CE214" s="1056"/>
      <c r="CF214" s="1056"/>
      <c r="CG214" s="1056"/>
      <c r="CH214" s="1056"/>
      <c r="CI214" s="1056"/>
      <c r="CJ214" s="1056"/>
      <c r="CK214" s="1056"/>
      <c r="CL214" s="1056"/>
      <c r="CM214" s="1056"/>
    </row>
    <row r="215" spans="1:91" s="1058" customFormat="1" ht="16.2" thickBot="1">
      <c r="A215" s="1332">
        <v>1</v>
      </c>
      <c r="B215" s="1333" t="s">
        <v>1061</v>
      </c>
      <c r="C215" s="1332">
        <v>2007</v>
      </c>
      <c r="D215" s="1332"/>
      <c r="E215" s="1334">
        <f>'Pl 2014-17 PFC MF'!E633</f>
        <v>46900</v>
      </c>
      <c r="F215" s="1334">
        <f>'Pl 2014-17 PFC MF'!F633</f>
        <v>0</v>
      </c>
      <c r="G215" s="1334">
        <f>'Pl 2014-17 PFC MF'!G633</f>
        <v>46900</v>
      </c>
      <c r="H215" s="1334">
        <f>'Pl 2014-17 PFC MF'!H633</f>
        <v>0</v>
      </c>
      <c r="I215" s="1334"/>
      <c r="J215" s="1334"/>
      <c r="K215" s="1334"/>
      <c r="L215" s="1334"/>
      <c r="AN215" s="1059"/>
      <c r="AO215" s="1059"/>
      <c r="AP215" s="1056"/>
      <c r="AQ215" s="1056"/>
      <c r="AR215" s="1056"/>
      <c r="AS215" s="1056"/>
      <c r="AT215" s="1056"/>
      <c r="AU215" s="1056"/>
      <c r="AV215" s="1056"/>
      <c r="AW215" s="1056"/>
      <c r="AX215" s="1056"/>
      <c r="AY215" s="1056"/>
      <c r="AZ215" s="1056"/>
      <c r="BA215" s="1056"/>
      <c r="BB215" s="1056"/>
      <c r="BC215" s="1056"/>
      <c r="BD215" s="1056"/>
      <c r="BE215" s="1056"/>
      <c r="BF215" s="1056"/>
      <c r="BG215" s="1056"/>
      <c r="BH215" s="1056"/>
      <c r="BI215" s="1056"/>
      <c r="BJ215" s="1056"/>
      <c r="BK215" s="1056"/>
      <c r="BL215" s="1056"/>
      <c r="BM215" s="1056"/>
      <c r="BN215" s="1056"/>
      <c r="BO215" s="1056"/>
      <c r="BP215" s="1056"/>
      <c r="BQ215" s="1056"/>
      <c r="BR215" s="1056"/>
      <c r="BS215" s="1056"/>
      <c r="BT215" s="1056"/>
      <c r="BU215" s="1056"/>
      <c r="BV215" s="1056"/>
      <c r="BW215" s="1056"/>
      <c r="BX215" s="1056"/>
      <c r="BY215" s="1056"/>
      <c r="BZ215" s="1056"/>
      <c r="CA215" s="1056"/>
      <c r="CB215" s="1056"/>
      <c r="CC215" s="1056"/>
      <c r="CD215" s="1056"/>
      <c r="CE215" s="1056"/>
      <c r="CF215" s="1056"/>
      <c r="CG215" s="1056"/>
      <c r="CH215" s="1056"/>
      <c r="CI215" s="1056"/>
      <c r="CJ215" s="1056"/>
      <c r="CK215" s="1056"/>
      <c r="CL215" s="1056"/>
      <c r="CM215" s="1056"/>
    </row>
    <row r="216" spans="1:91" s="1058" customFormat="1" ht="16.2" thickBot="1">
      <c r="A216" s="1329" t="s">
        <v>643</v>
      </c>
      <c r="B216" s="1330" t="s">
        <v>1034</v>
      </c>
      <c r="C216" s="1329"/>
      <c r="D216" s="1329"/>
      <c r="E216" s="1336">
        <f>'Pl 2014-17 PFC MF'!E642</f>
        <v>213665000</v>
      </c>
      <c r="F216" s="1336">
        <f>'Pl 2014-17 PFC MF'!F642</f>
        <v>0</v>
      </c>
      <c r="G216" s="1336">
        <f>'Pl 2014-17 PFC MF'!G642</f>
        <v>197144000</v>
      </c>
      <c r="H216" s="1336">
        <f>'Pl 2014-17 PFC MF'!H642</f>
        <v>0</v>
      </c>
      <c r="I216" s="1336">
        <f>'Pl 2014-17 PFC MF'!I642</f>
        <v>244840000</v>
      </c>
      <c r="J216" s="1336">
        <f>'Pl 2014-17 PFC MF'!J642</f>
        <v>189420000</v>
      </c>
      <c r="K216" s="1336">
        <f>'Pl 2014-17 PFC MF'!K642</f>
        <v>241420000</v>
      </c>
      <c r="L216" s="1336">
        <f>'Pl 2014-17 PFC MF'!L642</f>
        <v>272420000</v>
      </c>
      <c r="AN216" s="1059"/>
      <c r="AO216" s="1059"/>
      <c r="AP216" s="1056"/>
      <c r="AQ216" s="1056"/>
      <c r="AR216" s="1056"/>
      <c r="AS216" s="1056"/>
      <c r="AT216" s="1056"/>
      <c r="AU216" s="1056"/>
      <c r="AV216" s="1056"/>
      <c r="AW216" s="1056"/>
      <c r="AX216" s="1056"/>
      <c r="AY216" s="1056"/>
      <c r="AZ216" s="1056"/>
      <c r="BA216" s="1056"/>
      <c r="BB216" s="1056"/>
      <c r="BC216" s="1056"/>
      <c r="BD216" s="1056"/>
      <c r="BE216" s="1056"/>
      <c r="BF216" s="1056"/>
      <c r="BG216" s="1056"/>
      <c r="BH216" s="1056"/>
      <c r="BI216" s="1056"/>
      <c r="BJ216" s="1056"/>
      <c r="BK216" s="1056"/>
      <c r="BL216" s="1056"/>
      <c r="BM216" s="1056"/>
      <c r="BN216" s="1056"/>
      <c r="BO216" s="1056"/>
      <c r="BP216" s="1056"/>
      <c r="BQ216" s="1056"/>
      <c r="BR216" s="1056"/>
      <c r="BS216" s="1056"/>
      <c r="BT216" s="1056"/>
      <c r="BU216" s="1056"/>
      <c r="BV216" s="1056"/>
      <c r="BW216" s="1056"/>
      <c r="BX216" s="1056"/>
      <c r="BY216" s="1056"/>
      <c r="BZ216" s="1056"/>
      <c r="CA216" s="1056"/>
      <c r="CB216" s="1056"/>
      <c r="CC216" s="1056"/>
      <c r="CD216" s="1056"/>
      <c r="CE216" s="1056"/>
      <c r="CF216" s="1056"/>
      <c r="CG216" s="1056"/>
      <c r="CH216" s="1056"/>
      <c r="CI216" s="1056"/>
      <c r="CJ216" s="1056"/>
      <c r="CK216" s="1056"/>
      <c r="CL216" s="1056"/>
      <c r="CM216" s="1056"/>
    </row>
    <row r="217" spans="1:91" s="1058" customFormat="1">
      <c r="A217" s="1332">
        <v>1</v>
      </c>
      <c r="B217" s="1333" t="s">
        <v>1037</v>
      </c>
      <c r="C217" s="1332"/>
      <c r="D217" s="1332"/>
      <c r="E217" s="1337"/>
      <c r="F217" s="1337"/>
      <c r="G217" s="1337"/>
      <c r="H217" s="1337"/>
      <c r="I217" s="1337"/>
      <c r="J217" s="1337"/>
      <c r="K217" s="1337"/>
      <c r="L217" s="1337"/>
      <c r="AN217" s="1059"/>
      <c r="AO217" s="1059"/>
      <c r="AP217" s="1056"/>
      <c r="AQ217" s="1056"/>
      <c r="AR217" s="1056"/>
      <c r="AS217" s="1056"/>
      <c r="AT217" s="1056"/>
      <c r="AU217" s="1056"/>
      <c r="AV217" s="1056"/>
      <c r="AW217" s="1056"/>
      <c r="AX217" s="1056"/>
      <c r="AY217" s="1056"/>
      <c r="AZ217" s="1056"/>
      <c r="BA217" s="1056"/>
      <c r="BB217" s="1056"/>
      <c r="BC217" s="1056"/>
      <c r="BD217" s="1056"/>
      <c r="BE217" s="1056"/>
      <c r="BF217" s="1056"/>
      <c r="BG217" s="1056"/>
      <c r="BH217" s="1056"/>
      <c r="BI217" s="1056"/>
      <c r="BJ217" s="1056"/>
      <c r="BK217" s="1056"/>
      <c r="BL217" s="1056"/>
      <c r="BM217" s="1056"/>
      <c r="BN217" s="1056"/>
      <c r="BO217" s="1056"/>
      <c r="BP217" s="1056"/>
      <c r="BQ217" s="1056"/>
      <c r="BR217" s="1056"/>
      <c r="BS217" s="1056"/>
      <c r="BT217" s="1056"/>
      <c r="BU217" s="1056"/>
      <c r="BV217" s="1056"/>
      <c r="BW217" s="1056"/>
      <c r="BX217" s="1056"/>
      <c r="BY217" s="1056"/>
      <c r="BZ217" s="1056"/>
      <c r="CA217" s="1056"/>
      <c r="CB217" s="1056"/>
      <c r="CC217" s="1056"/>
      <c r="CD217" s="1056"/>
      <c r="CE217" s="1056"/>
      <c r="CF217" s="1056"/>
      <c r="CG217" s="1056"/>
      <c r="CH217" s="1056"/>
      <c r="CI217" s="1056"/>
      <c r="CJ217" s="1056"/>
      <c r="CK217" s="1056"/>
      <c r="CL217" s="1056"/>
      <c r="CM217" s="1056"/>
    </row>
    <row r="218" spans="1:91" s="1058" customFormat="1">
      <c r="A218" s="1332" t="s">
        <v>16</v>
      </c>
      <c r="B218" s="1333" t="s">
        <v>1061</v>
      </c>
      <c r="C218" s="1332" t="s">
        <v>1064</v>
      </c>
      <c r="D218" s="1332"/>
      <c r="E218" s="1337">
        <f>'Pl 2014-17 PFC MF'!E644</f>
        <v>190153000</v>
      </c>
      <c r="F218" s="1337">
        <f>'Pl 2014-17 PFC MF'!F644</f>
        <v>0</v>
      </c>
      <c r="G218" s="1337">
        <f>'Pl 2014-17 PFC MF'!G644</f>
        <v>174538000</v>
      </c>
      <c r="H218" s="1337">
        <f>'Pl 2014-17 PFC MF'!H644</f>
        <v>0</v>
      </c>
      <c r="I218" s="1337">
        <f>'Pl 2014-17 PFC MF'!I644</f>
        <v>146640000</v>
      </c>
      <c r="J218" s="1337">
        <f>'Pl 2014-17 PFC MF'!J644</f>
        <v>141220000</v>
      </c>
      <c r="K218" s="1337">
        <f>'Pl 2014-17 PFC MF'!K644</f>
        <v>148220000</v>
      </c>
      <c r="L218" s="1337">
        <f>'Pl 2014-17 PFC MF'!L644</f>
        <v>149220000</v>
      </c>
      <c r="AN218" s="1059"/>
      <c r="AO218" s="1059"/>
      <c r="AP218" s="1056"/>
      <c r="AQ218" s="1056"/>
      <c r="AR218" s="1056"/>
      <c r="AS218" s="1056"/>
      <c r="AT218" s="1056"/>
      <c r="AU218" s="1056"/>
      <c r="AV218" s="1056"/>
      <c r="AW218" s="1056"/>
      <c r="AX218" s="1056"/>
      <c r="AY218" s="1056"/>
      <c r="AZ218" s="1056"/>
      <c r="BA218" s="1056"/>
      <c r="BB218" s="1056"/>
      <c r="BC218" s="1056"/>
      <c r="BD218" s="1056"/>
      <c r="BE218" s="1056"/>
      <c r="BF218" s="1056"/>
      <c r="BG218" s="1056"/>
      <c r="BH218" s="1056"/>
      <c r="BI218" s="1056"/>
      <c r="BJ218" s="1056"/>
      <c r="BK218" s="1056"/>
      <c r="BL218" s="1056"/>
      <c r="BM218" s="1056"/>
      <c r="BN218" s="1056"/>
      <c r="BO218" s="1056"/>
      <c r="BP218" s="1056"/>
      <c r="BQ218" s="1056"/>
      <c r="BR218" s="1056"/>
      <c r="BS218" s="1056"/>
      <c r="BT218" s="1056"/>
      <c r="BU218" s="1056"/>
      <c r="BV218" s="1056"/>
      <c r="BW218" s="1056"/>
      <c r="BX218" s="1056"/>
      <c r="BY218" s="1056"/>
      <c r="BZ218" s="1056"/>
      <c r="CA218" s="1056"/>
      <c r="CB218" s="1056"/>
      <c r="CC218" s="1056"/>
      <c r="CD218" s="1056"/>
      <c r="CE218" s="1056"/>
      <c r="CF218" s="1056"/>
      <c r="CG218" s="1056"/>
      <c r="CH218" s="1056"/>
      <c r="CI218" s="1056"/>
      <c r="CJ218" s="1056"/>
      <c r="CK218" s="1056"/>
      <c r="CL218" s="1056"/>
      <c r="CM218" s="1056"/>
    </row>
    <row r="219" spans="1:91" s="1058" customFormat="1">
      <c r="A219" s="1332" t="s">
        <v>17</v>
      </c>
      <c r="B219" s="1333" t="s">
        <v>1062</v>
      </c>
      <c r="C219" s="1332">
        <v>2450</v>
      </c>
      <c r="D219" s="1332"/>
      <c r="E219" s="1337">
        <f>'Pl 2014-17 PFC MF'!E648</f>
        <v>50010000</v>
      </c>
      <c r="F219" s="1337">
        <f>'Pl 2014-17 PFC MF'!F648</f>
        <v>0</v>
      </c>
      <c r="G219" s="1337">
        <f>'Pl 2014-17 PFC MF'!G648</f>
        <v>34935000</v>
      </c>
      <c r="H219" s="1337">
        <f>'Pl 2014-17 PFC MF'!H648</f>
        <v>0</v>
      </c>
      <c r="I219" s="1337">
        <f>'Pl 2014-17 PFC MF'!I648</f>
        <v>1220000</v>
      </c>
      <c r="J219" s="1337">
        <f>'Pl 2014-17 PFC MF'!J648</f>
        <v>1020000</v>
      </c>
      <c r="K219" s="1337">
        <f>'Pl 2014-17 PFC MF'!K648</f>
        <v>1220000</v>
      </c>
      <c r="L219" s="1337">
        <f>'Pl 2014-17 PFC MF'!L648</f>
        <v>920000</v>
      </c>
      <c r="AN219" s="1059"/>
      <c r="AO219" s="1059"/>
      <c r="AP219" s="1056"/>
      <c r="AQ219" s="1056"/>
      <c r="AR219" s="1056"/>
      <c r="AS219" s="1056"/>
      <c r="AT219" s="1056"/>
      <c r="AU219" s="1056"/>
      <c r="AV219" s="1056"/>
      <c r="AW219" s="1056"/>
      <c r="AX219" s="1056"/>
      <c r="AY219" s="1056"/>
      <c r="AZ219" s="1056"/>
      <c r="BA219" s="1056"/>
      <c r="BB219" s="1056"/>
      <c r="BC219" s="1056"/>
      <c r="BD219" s="1056"/>
      <c r="BE219" s="1056"/>
      <c r="BF219" s="1056"/>
      <c r="BG219" s="1056"/>
      <c r="BH219" s="1056"/>
      <c r="BI219" s="1056"/>
      <c r="BJ219" s="1056"/>
      <c r="BK219" s="1056"/>
      <c r="BL219" s="1056"/>
      <c r="BM219" s="1056"/>
      <c r="BN219" s="1056"/>
      <c r="BO219" s="1056"/>
      <c r="BP219" s="1056"/>
      <c r="BQ219" s="1056"/>
      <c r="BR219" s="1056"/>
      <c r="BS219" s="1056"/>
      <c r="BT219" s="1056"/>
      <c r="BU219" s="1056"/>
      <c r="BV219" s="1056"/>
      <c r="BW219" s="1056"/>
      <c r="BX219" s="1056"/>
      <c r="BY219" s="1056"/>
      <c r="BZ219" s="1056"/>
      <c r="CA219" s="1056"/>
      <c r="CB219" s="1056"/>
      <c r="CC219" s="1056"/>
      <c r="CD219" s="1056"/>
      <c r="CE219" s="1056"/>
      <c r="CF219" s="1056"/>
      <c r="CG219" s="1056"/>
      <c r="CH219" s="1056"/>
      <c r="CI219" s="1056"/>
      <c r="CJ219" s="1056"/>
      <c r="CK219" s="1056"/>
      <c r="CL219" s="1056"/>
      <c r="CM219" s="1056"/>
    </row>
    <row r="220" spans="1:91" s="1058" customFormat="1">
      <c r="A220" s="1332">
        <v>2</v>
      </c>
      <c r="B220" s="1333" t="s">
        <v>1060</v>
      </c>
      <c r="C220" s="1332"/>
      <c r="D220" s="1332"/>
      <c r="E220" s="1337"/>
      <c r="F220" s="1337"/>
      <c r="G220" s="1337"/>
      <c r="H220" s="1337"/>
      <c r="I220" s="1337"/>
      <c r="J220" s="1337"/>
      <c r="K220" s="1337"/>
      <c r="L220" s="1337"/>
      <c r="AN220" s="1059"/>
      <c r="AO220" s="1059"/>
      <c r="AP220" s="1056"/>
      <c r="AQ220" s="1056"/>
      <c r="AR220" s="1056"/>
      <c r="AS220" s="1056"/>
      <c r="AT220" s="1056"/>
      <c r="AU220" s="1056"/>
      <c r="AV220" s="1056"/>
      <c r="AW220" s="1056"/>
      <c r="AX220" s="1056"/>
      <c r="AY220" s="1056"/>
      <c r="AZ220" s="1056"/>
      <c r="BA220" s="1056"/>
      <c r="BB220" s="1056"/>
      <c r="BC220" s="1056"/>
      <c r="BD220" s="1056"/>
      <c r="BE220" s="1056"/>
      <c r="BF220" s="1056"/>
      <c r="BG220" s="1056"/>
      <c r="BH220" s="1056"/>
      <c r="BI220" s="1056"/>
      <c r="BJ220" s="1056"/>
      <c r="BK220" s="1056"/>
      <c r="BL220" s="1056"/>
      <c r="BM220" s="1056"/>
      <c r="BN220" s="1056"/>
      <c r="BO220" s="1056"/>
      <c r="BP220" s="1056"/>
      <c r="BQ220" s="1056"/>
      <c r="BR220" s="1056"/>
      <c r="BS220" s="1056"/>
      <c r="BT220" s="1056"/>
      <c r="BU220" s="1056"/>
      <c r="BV220" s="1056"/>
      <c r="BW220" s="1056"/>
      <c r="BX220" s="1056"/>
      <c r="BY220" s="1056"/>
      <c r="BZ220" s="1056"/>
      <c r="CA220" s="1056"/>
      <c r="CB220" s="1056"/>
      <c r="CC220" s="1056"/>
      <c r="CD220" s="1056"/>
      <c r="CE220" s="1056"/>
      <c r="CF220" s="1056"/>
      <c r="CG220" s="1056"/>
      <c r="CH220" s="1056"/>
      <c r="CI220" s="1056"/>
      <c r="CJ220" s="1056"/>
      <c r="CK220" s="1056"/>
      <c r="CL220" s="1056"/>
      <c r="CM220" s="1056"/>
    </row>
    <row r="221" spans="1:91" s="1058" customFormat="1">
      <c r="A221" s="1332" t="s">
        <v>20</v>
      </c>
      <c r="B221" s="1333" t="s">
        <v>1061</v>
      </c>
      <c r="C221" s="1332">
        <v>6260</v>
      </c>
      <c r="D221" s="1332"/>
      <c r="E221" s="1337">
        <f>'Pl 2014-17 PFC MF'!E650</f>
        <v>23512000</v>
      </c>
      <c r="F221" s="1337">
        <f>'Pl 2014-17 PFC MF'!F650</f>
        <v>0</v>
      </c>
      <c r="G221" s="1337">
        <f>'Pl 2014-17 PFC MF'!G650</f>
        <v>22606000</v>
      </c>
      <c r="H221" s="1337">
        <f>'Pl 2014-17 PFC MF'!H650</f>
        <v>0</v>
      </c>
      <c r="I221" s="1337">
        <f>'Pl 2014-17 PFC MF'!I650</f>
        <v>98200000</v>
      </c>
      <c r="J221" s="1337">
        <f>'Pl 2014-17 PFC MF'!J650</f>
        <v>48200000</v>
      </c>
      <c r="K221" s="1337">
        <f>'Pl 2014-17 PFC MF'!K650</f>
        <v>93200000</v>
      </c>
      <c r="L221" s="1337">
        <f>'Pl 2014-17 PFC MF'!L650</f>
        <v>123200000</v>
      </c>
      <c r="AN221" s="1059"/>
      <c r="AO221" s="1059"/>
      <c r="AP221" s="1056"/>
      <c r="AQ221" s="1056"/>
      <c r="AR221" s="1056"/>
      <c r="AS221" s="1056"/>
      <c r="AT221" s="1056"/>
      <c r="AU221" s="1056"/>
      <c r="AV221" s="1056"/>
      <c r="AW221" s="1056"/>
      <c r="AX221" s="1056"/>
      <c r="AY221" s="1056"/>
      <c r="AZ221" s="1056"/>
      <c r="BA221" s="1056"/>
      <c r="BB221" s="1056"/>
      <c r="BC221" s="1056"/>
      <c r="BD221" s="1056"/>
      <c r="BE221" s="1056"/>
      <c r="BF221" s="1056"/>
      <c r="BG221" s="1056"/>
      <c r="BH221" s="1056"/>
      <c r="BI221" s="1056"/>
      <c r="BJ221" s="1056"/>
      <c r="BK221" s="1056"/>
      <c r="BL221" s="1056"/>
      <c r="BM221" s="1056"/>
      <c r="BN221" s="1056"/>
      <c r="BO221" s="1056"/>
      <c r="BP221" s="1056"/>
      <c r="BQ221" s="1056"/>
      <c r="BR221" s="1056"/>
      <c r="BS221" s="1056"/>
      <c r="BT221" s="1056"/>
      <c r="BU221" s="1056"/>
      <c r="BV221" s="1056"/>
      <c r="BW221" s="1056"/>
      <c r="BX221" s="1056"/>
      <c r="BY221" s="1056"/>
      <c r="BZ221" s="1056"/>
      <c r="CA221" s="1056"/>
      <c r="CB221" s="1056"/>
      <c r="CC221" s="1056"/>
      <c r="CD221" s="1056"/>
      <c r="CE221" s="1056"/>
      <c r="CF221" s="1056"/>
      <c r="CG221" s="1056"/>
      <c r="CH221" s="1056"/>
      <c r="CI221" s="1056"/>
      <c r="CJ221" s="1056"/>
      <c r="CK221" s="1056"/>
      <c r="CL221" s="1056"/>
      <c r="CM221" s="1056"/>
    </row>
    <row r="222" spans="1:91" s="1058" customFormat="1" ht="16.2" thickBot="1">
      <c r="A222" s="1332" t="s">
        <v>189</v>
      </c>
      <c r="B222" s="1333" t="s">
        <v>1062</v>
      </c>
      <c r="C222" s="1332">
        <v>6270</v>
      </c>
      <c r="D222" s="1332"/>
      <c r="E222" s="1337">
        <f>'Pl 2014-17 PFC MF'!E655</f>
        <v>0</v>
      </c>
      <c r="F222" s="1337">
        <f>'Pl 2014-17 PFC MF'!F655</f>
        <v>0</v>
      </c>
      <c r="G222" s="1337">
        <f>'Pl 2014-17 PFC MF'!G655</f>
        <v>0</v>
      </c>
      <c r="H222" s="1337">
        <f>'Pl 2014-17 PFC MF'!H655</f>
        <v>0</v>
      </c>
      <c r="I222" s="1337">
        <f>'Pl 2014-17 PFC MF'!I655</f>
        <v>0</v>
      </c>
      <c r="J222" s="1337">
        <f>'Pl 2014-17 PFC MF'!J655</f>
        <v>0</v>
      </c>
      <c r="K222" s="1337">
        <f>'Pl 2014-17 PFC MF'!K655</f>
        <v>0</v>
      </c>
      <c r="L222" s="1337">
        <f>'Pl 2014-17 PFC MF'!L655</f>
        <v>0</v>
      </c>
      <c r="AN222" s="1059"/>
      <c r="AO222" s="1059"/>
      <c r="AP222" s="1056"/>
      <c r="AQ222" s="1056"/>
      <c r="AR222" s="1056"/>
      <c r="AS222" s="1056"/>
      <c r="AT222" s="1056"/>
      <c r="AU222" s="1056"/>
      <c r="AV222" s="1056"/>
      <c r="AW222" s="1056"/>
      <c r="AX222" s="1056"/>
      <c r="AY222" s="1056"/>
      <c r="AZ222" s="1056"/>
      <c r="BA222" s="1056"/>
      <c r="BB222" s="1056"/>
      <c r="BC222" s="1056"/>
      <c r="BD222" s="1056"/>
      <c r="BE222" s="1056"/>
      <c r="BF222" s="1056"/>
      <c r="BG222" s="1056"/>
      <c r="BH222" s="1056"/>
      <c r="BI222" s="1056"/>
      <c r="BJ222" s="1056"/>
      <c r="BK222" s="1056"/>
      <c r="BL222" s="1056"/>
      <c r="BM222" s="1056"/>
      <c r="BN222" s="1056"/>
      <c r="BO222" s="1056"/>
      <c r="BP222" s="1056"/>
      <c r="BQ222" s="1056"/>
      <c r="BR222" s="1056"/>
      <c r="BS222" s="1056"/>
      <c r="BT222" s="1056"/>
      <c r="BU222" s="1056"/>
      <c r="BV222" s="1056"/>
      <c r="BW222" s="1056"/>
      <c r="BX222" s="1056"/>
      <c r="BY222" s="1056"/>
      <c r="BZ222" s="1056"/>
      <c r="CA222" s="1056"/>
      <c r="CB222" s="1056"/>
      <c r="CC222" s="1056"/>
      <c r="CD222" s="1056"/>
      <c r="CE222" s="1056"/>
      <c r="CF222" s="1056"/>
      <c r="CG222" s="1056"/>
      <c r="CH222" s="1056"/>
      <c r="CI222" s="1056"/>
      <c r="CJ222" s="1056"/>
      <c r="CK222" s="1056"/>
      <c r="CL222" s="1056"/>
      <c r="CM222" s="1056"/>
    </row>
    <row r="223" spans="1:91" s="1058" customFormat="1" ht="16.2" thickBot="1">
      <c r="A223" s="1329" t="s">
        <v>643</v>
      </c>
      <c r="B223" s="1330" t="s">
        <v>1033</v>
      </c>
      <c r="C223" s="1329"/>
      <c r="D223" s="1338">
        <f>SUM(D225:D225)</f>
        <v>915783000</v>
      </c>
      <c r="E223" s="1339">
        <f>'Pl 2014-17 PFC MF'!E656</f>
        <v>915783000</v>
      </c>
      <c r="F223" s="1339">
        <f>'Pl 2014-17 PFC MF'!F656</f>
        <v>0</v>
      </c>
      <c r="G223" s="1339">
        <f>'Pl 2014-17 PFC MF'!G656</f>
        <v>915783000</v>
      </c>
      <c r="H223" s="1339">
        <f>'Pl 2014-17 PFC MF'!H656</f>
        <v>0</v>
      </c>
      <c r="I223" s="1339">
        <f>'Pl 2014-17 PFC MF'!I656</f>
        <v>922379000</v>
      </c>
      <c r="J223" s="1339">
        <f>'Pl 2014-17 PFC MF'!J656</f>
        <v>0</v>
      </c>
      <c r="K223" s="1339">
        <f>'Pl 2014-17 PFC MF'!K656</f>
        <v>922379000</v>
      </c>
      <c r="L223" s="1339" t="e">
        <f>'Pl 2014-17 PFC MF'!L656</f>
        <v>#REF!</v>
      </c>
      <c r="AN223" s="1059"/>
      <c r="AO223" s="1059"/>
      <c r="AP223" s="1056"/>
      <c r="AQ223" s="1056"/>
      <c r="AR223" s="1056"/>
      <c r="AS223" s="1056"/>
      <c r="AT223" s="1056"/>
      <c r="AU223" s="1056"/>
      <c r="AV223" s="1056"/>
      <c r="AW223" s="1056"/>
      <c r="AX223" s="1056"/>
      <c r="AY223" s="1056"/>
      <c r="AZ223" s="1056"/>
      <c r="BA223" s="1056"/>
      <c r="BB223" s="1056"/>
      <c r="BC223" s="1056"/>
      <c r="BD223" s="1056"/>
      <c r="BE223" s="1056"/>
      <c r="BF223" s="1056"/>
      <c r="BG223" s="1056"/>
      <c r="BH223" s="1056"/>
      <c r="BI223" s="1056"/>
      <c r="BJ223" s="1056"/>
      <c r="BK223" s="1056"/>
      <c r="BL223" s="1056"/>
      <c r="BM223" s="1056"/>
      <c r="BN223" s="1056"/>
      <c r="BO223" s="1056"/>
      <c r="BP223" s="1056"/>
      <c r="BQ223" s="1056"/>
      <c r="BR223" s="1056"/>
      <c r="BS223" s="1056"/>
      <c r="BT223" s="1056"/>
      <c r="BU223" s="1056"/>
      <c r="BV223" s="1056"/>
      <c r="BW223" s="1056"/>
      <c r="BX223" s="1056"/>
      <c r="BY223" s="1056"/>
      <c r="BZ223" s="1056"/>
      <c r="CA223" s="1056"/>
      <c r="CB223" s="1056"/>
      <c r="CC223" s="1056"/>
      <c r="CD223" s="1056"/>
      <c r="CE223" s="1056"/>
      <c r="CF223" s="1056"/>
      <c r="CG223" s="1056"/>
      <c r="CH223" s="1056"/>
      <c r="CI223" s="1056"/>
      <c r="CJ223" s="1056"/>
      <c r="CK223" s="1056"/>
      <c r="CL223" s="1056"/>
      <c r="CM223" s="1056"/>
    </row>
    <row r="224" spans="1:91" s="1058" customFormat="1">
      <c r="A224" s="1332"/>
      <c r="B224" s="1333" t="s">
        <v>1036</v>
      </c>
      <c r="C224" s="1332"/>
      <c r="D224" s="1332"/>
      <c r="E224" s="1340"/>
      <c r="F224" s="1340"/>
      <c r="G224" s="1340"/>
      <c r="H224" s="1340"/>
      <c r="I224" s="1340"/>
      <c r="J224" s="1340"/>
      <c r="K224" s="1340"/>
      <c r="L224" s="1340"/>
      <c r="AN224" s="1059"/>
      <c r="AO224" s="1059"/>
      <c r="AP224" s="1056"/>
      <c r="AQ224" s="1056"/>
      <c r="AR224" s="1056"/>
      <c r="AS224" s="1056"/>
      <c r="AT224" s="1056"/>
      <c r="AU224" s="1056"/>
      <c r="AV224" s="1056"/>
      <c r="AW224" s="1056"/>
      <c r="AX224" s="1056"/>
      <c r="AY224" s="1056"/>
      <c r="AZ224" s="1056"/>
      <c r="BA224" s="1056"/>
      <c r="BB224" s="1056"/>
      <c r="BC224" s="1056"/>
      <c r="BD224" s="1056"/>
      <c r="BE224" s="1056"/>
      <c r="BF224" s="1056"/>
      <c r="BG224" s="1056"/>
      <c r="BH224" s="1056"/>
      <c r="BI224" s="1056"/>
      <c r="BJ224" s="1056"/>
      <c r="BK224" s="1056"/>
      <c r="BL224" s="1056"/>
      <c r="BM224" s="1056"/>
      <c r="BN224" s="1056"/>
      <c r="BO224" s="1056"/>
      <c r="BP224" s="1056"/>
      <c r="BQ224" s="1056"/>
      <c r="BR224" s="1056"/>
      <c r="BS224" s="1056"/>
      <c r="BT224" s="1056"/>
      <c r="BU224" s="1056"/>
      <c r="BV224" s="1056"/>
      <c r="BW224" s="1056"/>
      <c r="BX224" s="1056"/>
      <c r="BY224" s="1056"/>
      <c r="BZ224" s="1056"/>
      <c r="CA224" s="1056"/>
      <c r="CB224" s="1056"/>
      <c r="CC224" s="1056"/>
      <c r="CD224" s="1056"/>
      <c r="CE224" s="1056"/>
      <c r="CF224" s="1056"/>
      <c r="CG224" s="1056"/>
      <c r="CH224" s="1056"/>
      <c r="CI224" s="1056"/>
      <c r="CJ224" s="1056"/>
      <c r="CK224" s="1056"/>
      <c r="CL224" s="1056"/>
      <c r="CM224" s="1056"/>
    </row>
    <row r="225" spans="1:91" s="1058" customFormat="1">
      <c r="A225" s="1332">
        <v>1</v>
      </c>
      <c r="B225" s="1341" t="s">
        <v>1040</v>
      </c>
      <c r="C225" s="1342" t="str">
        <f>C173</f>
        <v>2960</v>
      </c>
      <c r="D225" s="1343">
        <f>D173</f>
        <v>915783000</v>
      </c>
      <c r="E225" s="1344">
        <f>'Pl 2014-17 PFC MF'!E658</f>
        <v>915783000</v>
      </c>
      <c r="F225" s="1344">
        <f>'Pl 2014-17 PFC MF'!F658</f>
        <v>0</v>
      </c>
      <c r="G225" s="1344">
        <f>'Pl 2014-17 PFC MF'!G658</f>
        <v>915783000</v>
      </c>
      <c r="H225" s="1344">
        <f>'Pl 2014-17 PFC MF'!H658</f>
        <v>0</v>
      </c>
      <c r="I225" s="1344">
        <f>'Pl 2014-17 PFC MF'!I658</f>
        <v>922379000</v>
      </c>
      <c r="J225" s="1344">
        <f>'Pl 2014-17 PFC MF'!J658</f>
        <v>0</v>
      </c>
      <c r="K225" s="1344">
        <f>'Pl 2014-17 PFC MF'!K658</f>
        <v>922379000</v>
      </c>
      <c r="L225" s="1344" t="e">
        <f>'Pl 2014-17 PFC MF'!L658</f>
        <v>#REF!</v>
      </c>
      <c r="AN225" s="1059"/>
      <c r="AO225" s="1059"/>
      <c r="AP225" s="1056"/>
      <c r="AQ225" s="1056"/>
      <c r="AR225" s="1056"/>
      <c r="AS225" s="1056"/>
      <c r="AT225" s="1056"/>
      <c r="AU225" s="1056"/>
      <c r="AV225" s="1056"/>
      <c r="AW225" s="1056"/>
      <c r="AX225" s="1056"/>
      <c r="AY225" s="1056"/>
      <c r="AZ225" s="1056"/>
      <c r="BA225" s="1056"/>
      <c r="BB225" s="1056"/>
      <c r="BC225" s="1056"/>
      <c r="BD225" s="1056"/>
      <c r="BE225" s="1056"/>
      <c r="BF225" s="1056"/>
      <c r="BG225" s="1056"/>
      <c r="BH225" s="1056"/>
      <c r="BI225" s="1056"/>
      <c r="BJ225" s="1056"/>
      <c r="BK225" s="1056"/>
      <c r="BL225" s="1056"/>
      <c r="BM225" s="1056"/>
      <c r="BN225" s="1056"/>
      <c r="BO225" s="1056"/>
      <c r="BP225" s="1056"/>
      <c r="BQ225" s="1056"/>
      <c r="BR225" s="1056"/>
      <c r="BS225" s="1056"/>
      <c r="BT225" s="1056"/>
      <c r="BU225" s="1056"/>
      <c r="BV225" s="1056"/>
      <c r="BW225" s="1056"/>
      <c r="BX225" s="1056"/>
      <c r="BY225" s="1056"/>
      <c r="BZ225" s="1056"/>
      <c r="CA225" s="1056"/>
      <c r="CB225" s="1056"/>
      <c r="CC225" s="1056"/>
      <c r="CD225" s="1056"/>
      <c r="CE225" s="1056"/>
      <c r="CF225" s="1056"/>
      <c r="CG225" s="1056"/>
      <c r="CH225" s="1056"/>
      <c r="CI225" s="1056"/>
      <c r="CJ225" s="1056"/>
      <c r="CK225" s="1056"/>
      <c r="CL225" s="1056"/>
      <c r="CM225" s="1056"/>
    </row>
    <row r="226" spans="1:91" s="1058" customFormat="1" ht="16.2" thickBot="1">
      <c r="A226" s="1345"/>
      <c r="B226" s="1346"/>
      <c r="C226" s="1345"/>
      <c r="D226" s="1345"/>
      <c r="E226" s="1347"/>
      <c r="F226" s="1347"/>
      <c r="G226" s="1347"/>
      <c r="H226" s="1042"/>
      <c r="I226" s="1347"/>
      <c r="J226" s="1347"/>
      <c r="K226" s="1347"/>
      <c r="L226" s="1348"/>
      <c r="AN226" s="1059"/>
      <c r="AO226" s="1059"/>
      <c r="AP226" s="1056"/>
      <c r="AQ226" s="1056"/>
      <c r="AR226" s="1056"/>
      <c r="AS226" s="1056"/>
      <c r="AT226" s="1056"/>
      <c r="AU226" s="1056"/>
      <c r="AV226" s="1056"/>
      <c r="AW226" s="1056"/>
      <c r="AX226" s="1056"/>
      <c r="AY226" s="1056"/>
      <c r="AZ226" s="1056"/>
      <c r="BA226" s="1056"/>
      <c r="BB226" s="1056"/>
      <c r="BC226" s="1056"/>
      <c r="BD226" s="1056"/>
      <c r="BE226" s="1056"/>
      <c r="BF226" s="1056"/>
      <c r="BG226" s="1056"/>
      <c r="BH226" s="1056"/>
      <c r="BI226" s="1056"/>
      <c r="BJ226" s="1056"/>
      <c r="BK226" s="1056"/>
      <c r="BL226" s="1056"/>
      <c r="BM226" s="1056"/>
      <c r="BN226" s="1056"/>
      <c r="BO226" s="1056"/>
      <c r="BP226" s="1056"/>
      <c r="BQ226" s="1056"/>
      <c r="BR226" s="1056"/>
      <c r="BS226" s="1056"/>
      <c r="BT226" s="1056"/>
      <c r="BU226" s="1056"/>
      <c r="BV226" s="1056"/>
      <c r="BW226" s="1056"/>
      <c r="BX226" s="1056"/>
      <c r="BY226" s="1056"/>
      <c r="BZ226" s="1056"/>
      <c r="CA226" s="1056"/>
      <c r="CB226" s="1056"/>
      <c r="CC226" s="1056"/>
      <c r="CD226" s="1056"/>
      <c r="CE226" s="1056"/>
      <c r="CF226" s="1056"/>
      <c r="CG226" s="1056"/>
      <c r="CH226" s="1056"/>
      <c r="CI226" s="1056"/>
      <c r="CJ226" s="1056"/>
      <c r="CK226" s="1056"/>
      <c r="CL226" s="1056"/>
      <c r="CM226" s="1056"/>
    </row>
    <row r="227" spans="1:91" s="1058" customFormat="1">
      <c r="A227" s="1069"/>
      <c r="B227" s="1302"/>
      <c r="C227" s="1303"/>
      <c r="D227" s="1303"/>
      <c r="E227" s="1302"/>
      <c r="F227" s="1056"/>
      <c r="G227" s="1056"/>
      <c r="H227" s="1056"/>
      <c r="I227" s="1056"/>
      <c r="J227" s="1056"/>
      <c r="K227" s="1056"/>
      <c r="L227" s="981"/>
      <c r="AN227" s="1059"/>
      <c r="AO227" s="1059"/>
      <c r="AP227" s="1056"/>
      <c r="AQ227" s="1056"/>
      <c r="AR227" s="1056"/>
      <c r="AS227" s="1056"/>
      <c r="AT227" s="1056"/>
      <c r="AU227" s="1056"/>
      <c r="AV227" s="1056"/>
      <c r="AW227" s="1056"/>
      <c r="AX227" s="1056"/>
      <c r="AY227" s="1056"/>
      <c r="AZ227" s="1056"/>
      <c r="BA227" s="1056"/>
      <c r="BB227" s="1056"/>
      <c r="BC227" s="1056"/>
      <c r="BD227" s="1056"/>
      <c r="BE227" s="1056"/>
      <c r="BF227" s="1056"/>
      <c r="BG227" s="1056"/>
      <c r="BH227" s="1056"/>
      <c r="BI227" s="1056"/>
      <c r="BJ227" s="1056"/>
      <c r="BK227" s="1056"/>
      <c r="BL227" s="1056"/>
      <c r="BM227" s="1056"/>
      <c r="BN227" s="1056"/>
      <c r="BO227" s="1056"/>
      <c r="BP227" s="1056"/>
      <c r="BQ227" s="1056"/>
      <c r="BR227" s="1056"/>
      <c r="BS227" s="1056"/>
      <c r="BT227" s="1056"/>
      <c r="BU227" s="1056"/>
      <c r="BV227" s="1056"/>
      <c r="BW227" s="1056"/>
      <c r="BX227" s="1056"/>
      <c r="BY227" s="1056"/>
      <c r="BZ227" s="1056"/>
      <c r="CA227" s="1056"/>
      <c r="CB227" s="1056"/>
      <c r="CC227" s="1056"/>
      <c r="CD227" s="1056"/>
      <c r="CE227" s="1056"/>
      <c r="CF227" s="1056"/>
      <c r="CG227" s="1056"/>
      <c r="CH227" s="1056"/>
      <c r="CI227" s="1056"/>
      <c r="CJ227" s="1056"/>
      <c r="CK227" s="1056"/>
      <c r="CL227" s="1056"/>
      <c r="CM227" s="1056"/>
    </row>
    <row r="228" spans="1:91" s="1058" customFormat="1">
      <c r="A228" s="1069"/>
      <c r="B228" s="1302"/>
      <c r="C228" s="1303"/>
      <c r="D228" s="1303"/>
      <c r="E228" s="1302"/>
      <c r="F228" s="1056"/>
      <c r="G228" s="1056"/>
      <c r="H228" s="1056"/>
      <c r="I228" s="1056"/>
      <c r="J228" s="1056"/>
      <c r="K228" s="1056"/>
      <c r="L228" s="981"/>
      <c r="AN228" s="1059"/>
      <c r="AO228" s="1059"/>
      <c r="AP228" s="1056"/>
      <c r="AQ228" s="1056"/>
      <c r="AR228" s="1056"/>
      <c r="AS228" s="1056"/>
      <c r="AT228" s="1056"/>
      <c r="AU228" s="1056"/>
      <c r="AV228" s="1056"/>
      <c r="AW228" s="1056"/>
      <c r="AX228" s="1056"/>
      <c r="AY228" s="1056"/>
      <c r="AZ228" s="1056"/>
      <c r="BA228" s="1056"/>
      <c r="BB228" s="1056"/>
      <c r="BC228" s="1056"/>
      <c r="BD228" s="1056"/>
      <c r="BE228" s="1056"/>
      <c r="BF228" s="1056"/>
      <c r="BG228" s="1056"/>
      <c r="BH228" s="1056"/>
      <c r="BI228" s="1056"/>
      <c r="BJ228" s="1056"/>
      <c r="BK228" s="1056"/>
      <c r="BL228" s="1056"/>
      <c r="BM228" s="1056"/>
      <c r="BN228" s="1056"/>
      <c r="BO228" s="1056"/>
      <c r="BP228" s="1056"/>
      <c r="BQ228" s="1056"/>
      <c r="BR228" s="1056"/>
      <c r="BS228" s="1056"/>
      <c r="BT228" s="1056"/>
      <c r="BU228" s="1056"/>
      <c r="BV228" s="1056"/>
      <c r="BW228" s="1056"/>
      <c r="BX228" s="1056"/>
      <c r="BY228" s="1056"/>
      <c r="BZ228" s="1056"/>
      <c r="CA228" s="1056"/>
      <c r="CB228" s="1056"/>
      <c r="CC228" s="1056"/>
      <c r="CD228" s="1056"/>
      <c r="CE228" s="1056"/>
      <c r="CF228" s="1056"/>
      <c r="CG228" s="1056"/>
      <c r="CH228" s="1056"/>
      <c r="CI228" s="1056"/>
      <c r="CJ228" s="1056"/>
      <c r="CK228" s="1056"/>
      <c r="CL228" s="1056"/>
      <c r="CM228" s="1056"/>
    </row>
    <row r="229" spans="1:91" s="1058" customFormat="1" ht="23.4">
      <c r="A229" s="1349"/>
      <c r="B229" s="1350" t="s">
        <v>654</v>
      </c>
      <c r="C229" s="1349"/>
      <c r="D229" s="1349"/>
      <c r="E229" s="1349"/>
      <c r="F229" s="1349"/>
      <c r="G229" s="1349"/>
      <c r="H229" s="1349"/>
      <c r="I229" s="1349"/>
      <c r="J229" s="1349"/>
      <c r="K229" s="1056"/>
      <c r="L229" s="981"/>
      <c r="AN229" s="1059"/>
      <c r="AO229" s="1059"/>
      <c r="AP229" s="1056"/>
      <c r="AQ229" s="1056"/>
      <c r="AR229" s="1056"/>
      <c r="AS229" s="1056"/>
      <c r="AT229" s="1056"/>
      <c r="AU229" s="1056"/>
      <c r="AV229" s="1056"/>
      <c r="AW229" s="1056"/>
      <c r="AX229" s="1056"/>
      <c r="AY229" s="1056"/>
      <c r="AZ229" s="1056"/>
      <c r="BA229" s="1056"/>
      <c r="BB229" s="1056"/>
      <c r="BC229" s="1056"/>
      <c r="BD229" s="1056"/>
      <c r="BE229" s="1056"/>
      <c r="BF229" s="1056"/>
      <c r="BG229" s="1056"/>
      <c r="BH229" s="1056"/>
      <c r="BI229" s="1056"/>
      <c r="BJ229" s="1056"/>
      <c r="BK229" s="1056"/>
      <c r="BL229" s="1056"/>
      <c r="BM229" s="1056"/>
      <c r="BN229" s="1056"/>
      <c r="BO229" s="1056"/>
      <c r="BP229" s="1056"/>
      <c r="BQ229" s="1056"/>
      <c r="BR229" s="1056"/>
      <c r="BS229" s="1056"/>
      <c r="BT229" s="1056"/>
      <c r="BU229" s="1056"/>
      <c r="BV229" s="1056"/>
      <c r="BW229" s="1056"/>
      <c r="BX229" s="1056"/>
      <c r="BY229" s="1056"/>
      <c r="BZ229" s="1056"/>
      <c r="CA229" s="1056"/>
      <c r="CB229" s="1056"/>
      <c r="CC229" s="1056"/>
      <c r="CD229" s="1056"/>
      <c r="CE229" s="1056"/>
      <c r="CF229" s="1056"/>
      <c r="CG229" s="1056"/>
      <c r="CH229" s="1056"/>
      <c r="CI229" s="1056"/>
      <c r="CJ229" s="1056"/>
      <c r="CK229" s="1056"/>
      <c r="CL229" s="1056"/>
      <c r="CM229" s="1056"/>
    </row>
    <row r="230" spans="1:91" s="1058" customFormat="1" ht="23.4">
      <c r="A230" s="1349"/>
      <c r="B230" s="1351" t="s">
        <v>656</v>
      </c>
      <c r="C230" s="1349"/>
      <c r="D230" s="1349"/>
      <c r="E230" s="1349"/>
      <c r="F230" s="1349"/>
      <c r="G230" s="1349"/>
      <c r="H230" s="1349"/>
      <c r="I230" s="1349"/>
      <c r="J230" s="1349"/>
      <c r="K230" s="1056"/>
      <c r="L230" s="981"/>
      <c r="AN230" s="1059"/>
      <c r="AO230" s="1059"/>
      <c r="AP230" s="1056"/>
      <c r="AQ230" s="1056"/>
      <c r="AR230" s="1056"/>
      <c r="AS230" s="1056"/>
      <c r="AT230" s="1056"/>
      <c r="AU230" s="1056"/>
      <c r="AV230" s="1056"/>
      <c r="AW230" s="1056"/>
      <c r="AX230" s="1056"/>
      <c r="AY230" s="1056"/>
      <c r="AZ230" s="1056"/>
      <c r="BA230" s="1056"/>
      <c r="BB230" s="1056"/>
      <c r="BC230" s="1056"/>
      <c r="BD230" s="1056"/>
      <c r="BE230" s="1056"/>
      <c r="BF230" s="1056"/>
      <c r="BG230" s="1056"/>
      <c r="BH230" s="1056"/>
      <c r="BI230" s="1056"/>
      <c r="BJ230" s="1056"/>
      <c r="BK230" s="1056"/>
      <c r="BL230" s="1056"/>
      <c r="BM230" s="1056"/>
      <c r="BN230" s="1056"/>
      <c r="BO230" s="1056"/>
      <c r="BP230" s="1056"/>
      <c r="BQ230" s="1056"/>
      <c r="BR230" s="1056"/>
      <c r="BS230" s="1056"/>
      <c r="BT230" s="1056"/>
      <c r="BU230" s="1056"/>
      <c r="BV230" s="1056"/>
      <c r="BW230" s="1056"/>
      <c r="BX230" s="1056"/>
      <c r="BY230" s="1056"/>
      <c r="BZ230" s="1056"/>
      <c r="CA230" s="1056"/>
      <c r="CB230" s="1056"/>
      <c r="CC230" s="1056"/>
      <c r="CD230" s="1056"/>
      <c r="CE230" s="1056"/>
      <c r="CF230" s="1056"/>
      <c r="CG230" s="1056"/>
      <c r="CH230" s="1056"/>
      <c r="CI230" s="1056"/>
      <c r="CJ230" s="1056"/>
      <c r="CK230" s="1056"/>
      <c r="CL230" s="1056"/>
      <c r="CM230" s="1056"/>
    </row>
    <row r="231" spans="1:91" s="1058" customFormat="1" ht="15.75" customHeight="1">
      <c r="A231" s="1349"/>
      <c r="B231" s="1350" t="s">
        <v>655</v>
      </c>
      <c r="C231" s="1349"/>
      <c r="D231" s="1349"/>
      <c r="E231" s="1349"/>
      <c r="F231" s="1349"/>
      <c r="G231" s="1349"/>
      <c r="H231" s="1349"/>
      <c r="I231" s="1349"/>
      <c r="J231" s="1349"/>
      <c r="K231" s="1056"/>
      <c r="L231" s="981"/>
      <c r="AN231" s="1059"/>
      <c r="AO231" s="1059"/>
      <c r="AP231" s="1056"/>
      <c r="AQ231" s="1056"/>
      <c r="AR231" s="1056"/>
      <c r="AS231" s="1056"/>
      <c r="AT231" s="1056"/>
      <c r="AU231" s="1056"/>
      <c r="AV231" s="1056"/>
      <c r="AW231" s="1056"/>
      <c r="AX231" s="1056"/>
      <c r="AY231" s="1056"/>
      <c r="AZ231" s="1056"/>
      <c r="BA231" s="1056"/>
      <c r="BB231" s="1056"/>
      <c r="BC231" s="1056"/>
      <c r="BD231" s="1056"/>
      <c r="BE231" s="1056"/>
      <c r="BF231" s="1056"/>
      <c r="BG231" s="1056"/>
      <c r="BH231" s="1056"/>
      <c r="BI231" s="1056"/>
      <c r="BJ231" s="1056"/>
      <c r="BK231" s="1056"/>
      <c r="BL231" s="1056"/>
      <c r="BM231" s="1056"/>
      <c r="BN231" s="1056"/>
      <c r="BO231" s="1056"/>
      <c r="BP231" s="1056"/>
      <c r="BQ231" s="1056"/>
      <c r="BR231" s="1056"/>
      <c r="BS231" s="1056"/>
      <c r="BT231" s="1056"/>
      <c r="BU231" s="1056"/>
      <c r="BV231" s="1056"/>
      <c r="BW231" s="1056"/>
      <c r="BX231" s="1056"/>
      <c r="BY231" s="1056"/>
      <c r="BZ231" s="1056"/>
      <c r="CA231" s="1056"/>
      <c r="CB231" s="1056"/>
      <c r="CC231" s="1056"/>
      <c r="CD231" s="1056"/>
      <c r="CE231" s="1056"/>
      <c r="CF231" s="1056"/>
      <c r="CG231" s="1056"/>
      <c r="CH231" s="1056"/>
      <c r="CI231" s="1056"/>
      <c r="CJ231" s="1056"/>
      <c r="CK231" s="1056"/>
      <c r="CL231" s="1056"/>
      <c r="CM231" s="1056"/>
    </row>
    <row r="232" spans="1:91" s="1058" customFormat="1" ht="53.25" customHeight="1">
      <c r="A232" s="1349"/>
      <c r="B232" s="1350" t="s">
        <v>509</v>
      </c>
      <c r="C232" s="1349"/>
      <c r="D232" s="1349"/>
      <c r="E232" s="1349"/>
      <c r="F232" s="1349"/>
      <c r="G232" s="1349"/>
      <c r="H232" s="1349"/>
      <c r="I232" s="1349"/>
      <c r="J232" s="1349"/>
      <c r="K232" s="1056"/>
      <c r="L232" s="981"/>
      <c r="AN232" s="1059"/>
      <c r="AO232" s="1059"/>
      <c r="AP232" s="1056"/>
      <c r="AQ232" s="1056"/>
      <c r="AR232" s="1056"/>
      <c r="AS232" s="1056"/>
      <c r="AT232" s="1056"/>
      <c r="AU232" s="1056"/>
      <c r="AV232" s="1056"/>
      <c r="AW232" s="1056"/>
      <c r="AX232" s="1056"/>
      <c r="AY232" s="1056"/>
      <c r="AZ232" s="1056"/>
      <c r="BA232" s="1056"/>
      <c r="BB232" s="1056"/>
      <c r="BC232" s="1056"/>
      <c r="BD232" s="1056"/>
      <c r="BE232" s="1056"/>
      <c r="BF232" s="1056"/>
      <c r="BG232" s="1056"/>
      <c r="BH232" s="1056"/>
      <c r="BI232" s="1056"/>
      <c r="BJ232" s="1056"/>
      <c r="BK232" s="1056"/>
      <c r="BL232" s="1056"/>
      <c r="BM232" s="1056"/>
      <c r="BN232" s="1056"/>
      <c r="BO232" s="1056"/>
      <c r="BP232" s="1056"/>
      <c r="BQ232" s="1056"/>
      <c r="BR232" s="1056"/>
      <c r="BS232" s="1056"/>
      <c r="BT232" s="1056"/>
      <c r="BU232" s="1056"/>
      <c r="BV232" s="1056"/>
      <c r="BW232" s="1056"/>
      <c r="BX232" s="1056"/>
      <c r="BY232" s="1056"/>
      <c r="BZ232" s="1056"/>
      <c r="CA232" s="1056"/>
      <c r="CB232" s="1056"/>
      <c r="CC232" s="1056"/>
      <c r="CD232" s="1056"/>
      <c r="CE232" s="1056"/>
      <c r="CF232" s="1056"/>
      <c r="CG232" s="1056"/>
      <c r="CH232" s="1056"/>
      <c r="CI232" s="1056"/>
      <c r="CJ232" s="1056"/>
      <c r="CK232" s="1056"/>
      <c r="CL232" s="1056"/>
      <c r="CM232" s="1056"/>
    </row>
    <row r="233" spans="1:91" s="1058" customFormat="1" ht="15.75" customHeight="1">
      <c r="A233" s="1349"/>
      <c r="B233" s="1349"/>
      <c r="C233" s="1349"/>
      <c r="D233" s="1349"/>
      <c r="E233" s="1349"/>
      <c r="F233" s="1349"/>
      <c r="G233" s="1349"/>
      <c r="H233" s="1349"/>
      <c r="I233" s="1349"/>
      <c r="J233" s="1349"/>
      <c r="K233" s="1056"/>
      <c r="L233" s="981"/>
      <c r="AN233" s="1059"/>
      <c r="AO233" s="1059"/>
      <c r="AP233" s="1056"/>
      <c r="AQ233" s="1056"/>
      <c r="AR233" s="1056"/>
      <c r="AS233" s="1056"/>
      <c r="AT233" s="1056"/>
      <c r="AU233" s="1056"/>
      <c r="AV233" s="1056"/>
      <c r="AW233" s="1056"/>
      <c r="AX233" s="1056"/>
      <c r="AY233" s="1056"/>
      <c r="AZ233" s="1056"/>
      <c r="BA233" s="1056"/>
      <c r="BB233" s="1056"/>
      <c r="BC233" s="1056"/>
      <c r="BD233" s="1056"/>
      <c r="BE233" s="1056"/>
      <c r="BF233" s="1056"/>
      <c r="BG233" s="1056"/>
      <c r="BH233" s="1056"/>
      <c r="BI233" s="1056"/>
      <c r="BJ233" s="1056"/>
      <c r="BK233" s="1056"/>
      <c r="BL233" s="1056"/>
      <c r="BM233" s="1056"/>
      <c r="BN233" s="1056"/>
      <c r="BO233" s="1056"/>
      <c r="BP233" s="1056"/>
      <c r="BQ233" s="1056"/>
      <c r="BR233" s="1056"/>
      <c r="BS233" s="1056"/>
      <c r="BT233" s="1056"/>
      <c r="BU233" s="1056"/>
      <c r="BV233" s="1056"/>
      <c r="BW233" s="1056"/>
      <c r="BX233" s="1056"/>
      <c r="BY233" s="1056"/>
      <c r="BZ233" s="1056"/>
      <c r="CA233" s="1056"/>
      <c r="CB233" s="1056"/>
      <c r="CC233" s="1056"/>
      <c r="CD233" s="1056"/>
      <c r="CE233" s="1056"/>
      <c r="CF233" s="1056"/>
      <c r="CG233" s="1056"/>
      <c r="CH233" s="1056"/>
      <c r="CI233" s="1056"/>
      <c r="CJ233" s="1056"/>
      <c r="CK233" s="1056"/>
      <c r="CL233" s="1056"/>
      <c r="CM233" s="1056"/>
    </row>
    <row r="234" spans="1:91" s="1058" customFormat="1" ht="15.75" customHeight="1">
      <c r="A234" s="1349"/>
      <c r="B234" s="1349"/>
      <c r="C234" s="1349"/>
      <c r="D234" s="1349"/>
      <c r="E234" s="1349"/>
      <c r="F234" s="1349"/>
      <c r="G234" s="1349"/>
      <c r="H234" s="1349"/>
      <c r="I234" s="1349"/>
      <c r="J234" s="1349"/>
      <c r="K234" s="1056"/>
      <c r="L234" s="981"/>
      <c r="AN234" s="1059"/>
      <c r="AO234" s="1059"/>
      <c r="AP234" s="1056"/>
      <c r="AQ234" s="1056"/>
      <c r="AR234" s="1056"/>
      <c r="AS234" s="1056"/>
      <c r="AT234" s="1056"/>
      <c r="AU234" s="1056"/>
      <c r="AV234" s="1056"/>
      <c r="AW234" s="1056"/>
      <c r="AX234" s="1056"/>
      <c r="AY234" s="1056"/>
      <c r="AZ234" s="1056"/>
      <c r="BA234" s="1056"/>
      <c r="BB234" s="1056"/>
      <c r="BC234" s="1056"/>
      <c r="BD234" s="1056"/>
      <c r="BE234" s="1056"/>
      <c r="BF234" s="1056"/>
      <c r="BG234" s="1056"/>
      <c r="BH234" s="1056"/>
      <c r="BI234" s="1056"/>
      <c r="BJ234" s="1056"/>
      <c r="BK234" s="1056"/>
      <c r="BL234" s="1056"/>
      <c r="BM234" s="1056"/>
      <c r="BN234" s="1056"/>
      <c r="BO234" s="1056"/>
      <c r="BP234" s="1056"/>
      <c r="BQ234" s="1056"/>
      <c r="BR234" s="1056"/>
      <c r="BS234" s="1056"/>
      <c r="BT234" s="1056"/>
      <c r="BU234" s="1056"/>
      <c r="BV234" s="1056"/>
      <c r="BW234" s="1056"/>
      <c r="BX234" s="1056"/>
      <c r="BY234" s="1056"/>
      <c r="BZ234" s="1056"/>
      <c r="CA234" s="1056"/>
      <c r="CB234" s="1056"/>
      <c r="CC234" s="1056"/>
      <c r="CD234" s="1056"/>
      <c r="CE234" s="1056"/>
      <c r="CF234" s="1056"/>
      <c r="CG234" s="1056"/>
      <c r="CH234" s="1056"/>
      <c r="CI234" s="1056"/>
      <c r="CJ234" s="1056"/>
      <c r="CK234" s="1056"/>
      <c r="CL234" s="1056"/>
      <c r="CM234" s="1056"/>
    </row>
    <row r="235" spans="1:91" s="1058" customFormat="1" ht="15.75" customHeight="1">
      <c r="A235" s="1349"/>
      <c r="B235" s="1349"/>
      <c r="C235" s="1349"/>
      <c r="D235" s="1349"/>
      <c r="E235" s="1349"/>
      <c r="F235" s="1349"/>
      <c r="G235" s="1349"/>
      <c r="H235" s="1349"/>
      <c r="I235" s="1349"/>
      <c r="J235" s="1349"/>
      <c r="K235" s="1056"/>
      <c r="L235" s="981"/>
      <c r="AN235" s="1059"/>
      <c r="AO235" s="1059"/>
      <c r="AP235" s="1056"/>
      <c r="AQ235" s="1056"/>
      <c r="AR235" s="1056"/>
      <c r="AS235" s="1056"/>
      <c r="AT235" s="1056"/>
      <c r="AU235" s="1056"/>
      <c r="AV235" s="1056"/>
      <c r="AW235" s="1056"/>
      <c r="AX235" s="1056"/>
      <c r="AY235" s="1056"/>
      <c r="AZ235" s="1056"/>
      <c r="BA235" s="1056"/>
      <c r="BB235" s="1056"/>
      <c r="BC235" s="1056"/>
      <c r="BD235" s="1056"/>
      <c r="BE235" s="1056"/>
      <c r="BF235" s="1056"/>
      <c r="BG235" s="1056"/>
      <c r="BH235" s="1056"/>
      <c r="BI235" s="1056"/>
      <c r="BJ235" s="1056"/>
      <c r="BK235" s="1056"/>
      <c r="BL235" s="1056"/>
      <c r="BM235" s="1056"/>
      <c r="BN235" s="1056"/>
      <c r="BO235" s="1056"/>
      <c r="BP235" s="1056"/>
      <c r="BQ235" s="1056"/>
      <c r="BR235" s="1056"/>
      <c r="BS235" s="1056"/>
      <c r="BT235" s="1056"/>
      <c r="BU235" s="1056"/>
      <c r="BV235" s="1056"/>
      <c r="BW235" s="1056"/>
      <c r="BX235" s="1056"/>
      <c r="BY235" s="1056"/>
      <c r="BZ235" s="1056"/>
      <c r="CA235" s="1056"/>
      <c r="CB235" s="1056"/>
      <c r="CC235" s="1056"/>
      <c r="CD235" s="1056"/>
      <c r="CE235" s="1056"/>
      <c r="CF235" s="1056"/>
      <c r="CG235" s="1056"/>
      <c r="CH235" s="1056"/>
      <c r="CI235" s="1056"/>
      <c r="CJ235" s="1056"/>
      <c r="CK235" s="1056"/>
      <c r="CL235" s="1056"/>
      <c r="CM235" s="1056"/>
    </row>
    <row r="236" spans="1:91" s="1058" customFormat="1" ht="15.75" customHeight="1">
      <c r="A236" s="1349"/>
      <c r="B236" s="1349"/>
      <c r="C236" s="1349"/>
      <c r="D236" s="1349"/>
      <c r="E236" s="1349"/>
      <c r="F236" s="1349"/>
      <c r="G236" s="1349"/>
      <c r="H236" s="1349"/>
      <c r="I236" s="1349"/>
      <c r="J236" s="1349"/>
      <c r="K236" s="1056"/>
      <c r="L236" s="981"/>
      <c r="AN236" s="1059"/>
      <c r="AO236" s="1059"/>
      <c r="AP236" s="1056"/>
      <c r="AQ236" s="1056"/>
      <c r="AR236" s="1056"/>
      <c r="AS236" s="1056"/>
      <c r="AT236" s="1056"/>
      <c r="AU236" s="1056"/>
      <c r="AV236" s="1056"/>
      <c r="AW236" s="1056"/>
      <c r="AX236" s="1056"/>
      <c r="AY236" s="1056"/>
      <c r="AZ236" s="1056"/>
      <c r="BA236" s="1056"/>
      <c r="BB236" s="1056"/>
      <c r="BC236" s="1056"/>
      <c r="BD236" s="1056"/>
      <c r="BE236" s="1056"/>
      <c r="BF236" s="1056"/>
      <c r="BG236" s="1056"/>
      <c r="BH236" s="1056"/>
      <c r="BI236" s="1056"/>
      <c r="BJ236" s="1056"/>
      <c r="BK236" s="1056"/>
      <c r="BL236" s="1056"/>
      <c r="BM236" s="1056"/>
      <c r="BN236" s="1056"/>
      <c r="BO236" s="1056"/>
      <c r="BP236" s="1056"/>
      <c r="BQ236" s="1056"/>
      <c r="BR236" s="1056"/>
      <c r="BS236" s="1056"/>
      <c r="BT236" s="1056"/>
      <c r="BU236" s="1056"/>
      <c r="BV236" s="1056"/>
      <c r="BW236" s="1056"/>
      <c r="BX236" s="1056"/>
      <c r="BY236" s="1056"/>
      <c r="BZ236" s="1056"/>
      <c r="CA236" s="1056"/>
      <c r="CB236" s="1056"/>
      <c r="CC236" s="1056"/>
      <c r="CD236" s="1056"/>
      <c r="CE236" s="1056"/>
      <c r="CF236" s="1056"/>
      <c r="CG236" s="1056"/>
      <c r="CH236" s="1056"/>
      <c r="CI236" s="1056"/>
      <c r="CJ236" s="1056"/>
      <c r="CK236" s="1056"/>
      <c r="CL236" s="1056"/>
      <c r="CM236" s="1056"/>
    </row>
    <row r="237" spans="1:91" s="1058" customFormat="1" ht="15.75" customHeight="1">
      <c r="A237" s="1349"/>
      <c r="B237" s="1349"/>
      <c r="C237" s="1349"/>
      <c r="D237" s="1349"/>
      <c r="E237" s="1349"/>
      <c r="F237" s="1349"/>
      <c r="G237" s="1349"/>
      <c r="H237" s="1349"/>
      <c r="I237" s="1349"/>
      <c r="J237" s="1349"/>
      <c r="K237" s="1056"/>
      <c r="L237" s="981"/>
      <c r="AN237" s="1059"/>
      <c r="AO237" s="1059"/>
      <c r="AP237" s="1056"/>
      <c r="AQ237" s="1056"/>
      <c r="AR237" s="1056"/>
      <c r="AS237" s="1056"/>
      <c r="AT237" s="1056"/>
      <c r="AU237" s="1056"/>
      <c r="AV237" s="1056"/>
      <c r="AW237" s="1056"/>
      <c r="AX237" s="1056"/>
      <c r="AY237" s="1056"/>
      <c r="AZ237" s="1056"/>
      <c r="BA237" s="1056"/>
      <c r="BB237" s="1056"/>
      <c r="BC237" s="1056"/>
      <c r="BD237" s="1056"/>
      <c r="BE237" s="1056"/>
      <c r="BF237" s="1056"/>
      <c r="BG237" s="1056"/>
      <c r="BH237" s="1056"/>
      <c r="BI237" s="1056"/>
      <c r="BJ237" s="1056"/>
      <c r="BK237" s="1056"/>
      <c r="BL237" s="1056"/>
      <c r="BM237" s="1056"/>
      <c r="BN237" s="1056"/>
      <c r="BO237" s="1056"/>
      <c r="BP237" s="1056"/>
      <c r="BQ237" s="1056"/>
      <c r="BR237" s="1056"/>
      <c r="BS237" s="1056"/>
      <c r="BT237" s="1056"/>
      <c r="BU237" s="1056"/>
      <c r="BV237" s="1056"/>
      <c r="BW237" s="1056"/>
      <c r="BX237" s="1056"/>
      <c r="BY237" s="1056"/>
      <c r="BZ237" s="1056"/>
      <c r="CA237" s="1056"/>
      <c r="CB237" s="1056"/>
      <c r="CC237" s="1056"/>
      <c r="CD237" s="1056"/>
      <c r="CE237" s="1056"/>
      <c r="CF237" s="1056"/>
      <c r="CG237" s="1056"/>
      <c r="CH237" s="1056"/>
      <c r="CI237" s="1056"/>
      <c r="CJ237" s="1056"/>
      <c r="CK237" s="1056"/>
      <c r="CL237" s="1056"/>
      <c r="CM237" s="1056"/>
    </row>
    <row r="238" spans="1:91" s="1058" customFormat="1" ht="15.75" customHeight="1">
      <c r="A238" s="1349"/>
      <c r="B238" s="1349"/>
      <c r="C238" s="1349"/>
      <c r="D238" s="1349"/>
      <c r="E238" s="1349"/>
      <c r="F238" s="1349"/>
      <c r="G238" s="1349"/>
      <c r="H238" s="1349"/>
      <c r="I238" s="1349"/>
      <c r="J238" s="1349"/>
      <c r="K238" s="1056"/>
      <c r="L238" s="981"/>
      <c r="AN238" s="1059"/>
      <c r="AO238" s="1059"/>
      <c r="AP238" s="1056"/>
      <c r="AQ238" s="1056"/>
      <c r="AR238" s="1056"/>
      <c r="AS238" s="1056"/>
      <c r="AT238" s="1056"/>
      <c r="AU238" s="1056"/>
      <c r="AV238" s="1056"/>
      <c r="AW238" s="1056"/>
      <c r="AX238" s="1056"/>
      <c r="AY238" s="1056"/>
      <c r="AZ238" s="1056"/>
      <c r="BA238" s="1056"/>
      <c r="BB238" s="1056"/>
      <c r="BC238" s="1056"/>
      <c r="BD238" s="1056"/>
      <c r="BE238" s="1056"/>
      <c r="BF238" s="1056"/>
      <c r="BG238" s="1056"/>
      <c r="BH238" s="1056"/>
      <c r="BI238" s="1056"/>
      <c r="BJ238" s="1056"/>
      <c r="BK238" s="1056"/>
      <c r="BL238" s="1056"/>
      <c r="BM238" s="1056"/>
      <c r="BN238" s="1056"/>
      <c r="BO238" s="1056"/>
      <c r="BP238" s="1056"/>
      <c r="BQ238" s="1056"/>
      <c r="BR238" s="1056"/>
      <c r="BS238" s="1056"/>
      <c r="BT238" s="1056"/>
      <c r="BU238" s="1056"/>
      <c r="BV238" s="1056"/>
      <c r="BW238" s="1056"/>
      <c r="BX238" s="1056"/>
      <c r="BY238" s="1056"/>
      <c r="BZ238" s="1056"/>
      <c r="CA238" s="1056"/>
      <c r="CB238" s="1056"/>
      <c r="CC238" s="1056"/>
      <c r="CD238" s="1056"/>
      <c r="CE238" s="1056"/>
      <c r="CF238" s="1056"/>
      <c r="CG238" s="1056"/>
      <c r="CH238" s="1056"/>
      <c r="CI238" s="1056"/>
      <c r="CJ238" s="1056"/>
      <c r="CK238" s="1056"/>
      <c r="CL238" s="1056"/>
      <c r="CM238" s="1056"/>
    </row>
    <row r="239" spans="1:91" s="1058" customFormat="1" ht="15.75" customHeight="1">
      <c r="A239" s="1349"/>
      <c r="B239" s="1349"/>
      <c r="C239" s="1349"/>
      <c r="D239" s="1349"/>
      <c r="E239" s="1349"/>
      <c r="F239" s="1349"/>
      <c r="G239" s="1349"/>
      <c r="H239" s="1349"/>
      <c r="I239" s="1349"/>
      <c r="J239" s="1349"/>
      <c r="K239" s="1056"/>
      <c r="L239" s="981"/>
      <c r="AN239" s="1059"/>
      <c r="AO239" s="1059"/>
      <c r="AP239" s="1056"/>
      <c r="AQ239" s="1056"/>
      <c r="AR239" s="1056"/>
      <c r="AS239" s="1056"/>
      <c r="AT239" s="1056"/>
      <c r="AU239" s="1056"/>
      <c r="AV239" s="1056"/>
      <c r="AW239" s="1056"/>
      <c r="AX239" s="1056"/>
      <c r="AY239" s="1056"/>
      <c r="AZ239" s="1056"/>
      <c r="BA239" s="1056"/>
      <c r="BB239" s="1056"/>
      <c r="BC239" s="1056"/>
      <c r="BD239" s="1056"/>
      <c r="BE239" s="1056"/>
      <c r="BF239" s="1056"/>
      <c r="BG239" s="1056"/>
      <c r="BH239" s="1056"/>
      <c r="BI239" s="1056"/>
      <c r="BJ239" s="1056"/>
      <c r="BK239" s="1056"/>
      <c r="BL239" s="1056"/>
      <c r="BM239" s="1056"/>
      <c r="BN239" s="1056"/>
      <c r="BO239" s="1056"/>
      <c r="BP239" s="1056"/>
      <c r="BQ239" s="1056"/>
      <c r="BR239" s="1056"/>
      <c r="BS239" s="1056"/>
      <c r="BT239" s="1056"/>
      <c r="BU239" s="1056"/>
      <c r="BV239" s="1056"/>
      <c r="BW239" s="1056"/>
      <c r="BX239" s="1056"/>
      <c r="BY239" s="1056"/>
      <c r="BZ239" s="1056"/>
      <c r="CA239" s="1056"/>
      <c r="CB239" s="1056"/>
      <c r="CC239" s="1056"/>
      <c r="CD239" s="1056"/>
      <c r="CE239" s="1056"/>
      <c r="CF239" s="1056"/>
      <c r="CG239" s="1056"/>
      <c r="CH239" s="1056"/>
      <c r="CI239" s="1056"/>
      <c r="CJ239" s="1056"/>
      <c r="CK239" s="1056"/>
      <c r="CL239" s="1056"/>
      <c r="CM239" s="1056"/>
    </row>
    <row r="240" spans="1:91" s="1058" customFormat="1" ht="15.75" customHeight="1">
      <c r="A240" s="1349"/>
      <c r="B240" s="1349"/>
      <c r="C240" s="1349"/>
      <c r="D240" s="1349"/>
      <c r="E240" s="1349"/>
      <c r="F240" s="1349"/>
      <c r="G240" s="1349"/>
      <c r="H240" s="1349"/>
      <c r="I240" s="1349"/>
      <c r="J240" s="1349"/>
      <c r="K240" s="1056"/>
      <c r="L240" s="981"/>
      <c r="AN240" s="1059"/>
      <c r="AO240" s="1059"/>
      <c r="AP240" s="1056"/>
      <c r="AQ240" s="1056"/>
      <c r="AR240" s="1056"/>
      <c r="AS240" s="1056"/>
      <c r="AT240" s="1056"/>
      <c r="AU240" s="1056"/>
      <c r="AV240" s="1056"/>
      <c r="AW240" s="1056"/>
      <c r="AX240" s="1056"/>
      <c r="AY240" s="1056"/>
      <c r="AZ240" s="1056"/>
      <c r="BA240" s="1056"/>
      <c r="BB240" s="1056"/>
      <c r="BC240" s="1056"/>
      <c r="BD240" s="1056"/>
      <c r="BE240" s="1056"/>
      <c r="BF240" s="1056"/>
      <c r="BG240" s="1056"/>
      <c r="BH240" s="1056"/>
      <c r="BI240" s="1056"/>
      <c r="BJ240" s="1056"/>
      <c r="BK240" s="1056"/>
      <c r="BL240" s="1056"/>
      <c r="BM240" s="1056"/>
      <c r="BN240" s="1056"/>
      <c r="BO240" s="1056"/>
      <c r="BP240" s="1056"/>
      <c r="BQ240" s="1056"/>
      <c r="BR240" s="1056"/>
      <c r="BS240" s="1056"/>
      <c r="BT240" s="1056"/>
      <c r="BU240" s="1056"/>
      <c r="BV240" s="1056"/>
      <c r="BW240" s="1056"/>
      <c r="BX240" s="1056"/>
      <c r="BY240" s="1056"/>
      <c r="BZ240" s="1056"/>
      <c r="CA240" s="1056"/>
      <c r="CB240" s="1056"/>
      <c r="CC240" s="1056"/>
      <c r="CD240" s="1056"/>
      <c r="CE240" s="1056"/>
      <c r="CF240" s="1056"/>
      <c r="CG240" s="1056"/>
      <c r="CH240" s="1056"/>
      <c r="CI240" s="1056"/>
      <c r="CJ240" s="1056"/>
      <c r="CK240" s="1056"/>
      <c r="CL240" s="1056"/>
      <c r="CM240" s="1056"/>
    </row>
    <row r="241" spans="1:91" s="1058" customFormat="1" ht="15.75" customHeight="1">
      <c r="A241" s="1349"/>
      <c r="B241" s="1349"/>
      <c r="C241" s="1349"/>
      <c r="D241" s="1349"/>
      <c r="E241" s="1349"/>
      <c r="F241" s="1349"/>
      <c r="G241" s="1349"/>
      <c r="H241" s="1349"/>
      <c r="I241" s="1349"/>
      <c r="J241" s="1349"/>
      <c r="K241" s="1056"/>
      <c r="L241" s="981"/>
      <c r="AN241" s="1059"/>
      <c r="AO241" s="1059"/>
      <c r="AP241" s="1056"/>
      <c r="AQ241" s="1056"/>
      <c r="AR241" s="1056"/>
      <c r="AS241" s="1056"/>
      <c r="AT241" s="1056"/>
      <c r="AU241" s="1056"/>
      <c r="AV241" s="1056"/>
      <c r="AW241" s="1056"/>
      <c r="AX241" s="1056"/>
      <c r="AY241" s="1056"/>
      <c r="AZ241" s="1056"/>
      <c r="BA241" s="1056"/>
      <c r="BB241" s="1056"/>
      <c r="BC241" s="1056"/>
      <c r="BD241" s="1056"/>
      <c r="BE241" s="1056"/>
      <c r="BF241" s="1056"/>
      <c r="BG241" s="1056"/>
      <c r="BH241" s="1056"/>
      <c r="BI241" s="1056"/>
      <c r="BJ241" s="1056"/>
      <c r="BK241" s="1056"/>
      <c r="BL241" s="1056"/>
      <c r="BM241" s="1056"/>
      <c r="BN241" s="1056"/>
      <c r="BO241" s="1056"/>
      <c r="BP241" s="1056"/>
      <c r="BQ241" s="1056"/>
      <c r="BR241" s="1056"/>
      <c r="BS241" s="1056"/>
      <c r="BT241" s="1056"/>
      <c r="BU241" s="1056"/>
      <c r="BV241" s="1056"/>
      <c r="BW241" s="1056"/>
      <c r="BX241" s="1056"/>
      <c r="BY241" s="1056"/>
      <c r="BZ241" s="1056"/>
      <c r="CA241" s="1056"/>
      <c r="CB241" s="1056"/>
      <c r="CC241" s="1056"/>
      <c r="CD241" s="1056"/>
      <c r="CE241" s="1056"/>
      <c r="CF241" s="1056"/>
      <c r="CG241" s="1056"/>
      <c r="CH241" s="1056"/>
      <c r="CI241" s="1056"/>
      <c r="CJ241" s="1056"/>
      <c r="CK241" s="1056"/>
      <c r="CL241" s="1056"/>
      <c r="CM241" s="1056"/>
    </row>
    <row r="242" spans="1:91" s="1058" customFormat="1" ht="15.75" customHeight="1">
      <c r="A242" s="1349"/>
      <c r="B242" s="1349"/>
      <c r="C242" s="1349"/>
      <c r="D242" s="1349"/>
      <c r="E242" s="1349"/>
      <c r="F242" s="1349"/>
      <c r="G242" s="1349"/>
      <c r="H242" s="1349"/>
      <c r="I242" s="1349"/>
      <c r="J242" s="1349"/>
      <c r="K242" s="1056"/>
      <c r="L242" s="981"/>
      <c r="AN242" s="1059"/>
      <c r="AO242" s="1059"/>
      <c r="AP242" s="1056"/>
      <c r="AQ242" s="1056"/>
      <c r="AR242" s="1056"/>
      <c r="AS242" s="1056"/>
      <c r="AT242" s="1056"/>
      <c r="AU242" s="1056"/>
      <c r="AV242" s="1056"/>
      <c r="AW242" s="1056"/>
      <c r="AX242" s="1056"/>
      <c r="AY242" s="1056"/>
      <c r="AZ242" s="1056"/>
      <c r="BA242" s="1056"/>
      <c r="BB242" s="1056"/>
      <c r="BC242" s="1056"/>
      <c r="BD242" s="1056"/>
      <c r="BE242" s="1056"/>
      <c r="BF242" s="1056"/>
      <c r="BG242" s="1056"/>
      <c r="BH242" s="1056"/>
      <c r="BI242" s="1056"/>
      <c r="BJ242" s="1056"/>
      <c r="BK242" s="1056"/>
      <c r="BL242" s="1056"/>
      <c r="BM242" s="1056"/>
      <c r="BN242" s="1056"/>
      <c r="BO242" s="1056"/>
      <c r="BP242" s="1056"/>
      <c r="BQ242" s="1056"/>
      <c r="BR242" s="1056"/>
      <c r="BS242" s="1056"/>
      <c r="BT242" s="1056"/>
      <c r="BU242" s="1056"/>
      <c r="BV242" s="1056"/>
      <c r="BW242" s="1056"/>
      <c r="BX242" s="1056"/>
      <c r="BY242" s="1056"/>
      <c r="BZ242" s="1056"/>
      <c r="CA242" s="1056"/>
      <c r="CB242" s="1056"/>
      <c r="CC242" s="1056"/>
      <c r="CD242" s="1056"/>
      <c r="CE242" s="1056"/>
      <c r="CF242" s="1056"/>
      <c r="CG242" s="1056"/>
      <c r="CH242" s="1056"/>
      <c r="CI242" s="1056"/>
      <c r="CJ242" s="1056"/>
      <c r="CK242" s="1056"/>
      <c r="CL242" s="1056"/>
      <c r="CM242" s="1056"/>
    </row>
    <row r="243" spans="1:91" s="1058" customFormat="1" ht="15.75" customHeight="1">
      <c r="A243" s="1349"/>
      <c r="B243" s="1349"/>
      <c r="C243" s="1349"/>
      <c r="D243" s="1349"/>
      <c r="E243" s="1349"/>
      <c r="F243" s="1349"/>
      <c r="G243" s="1349"/>
      <c r="H243" s="1349"/>
      <c r="I243" s="1349"/>
      <c r="J243" s="1349"/>
      <c r="K243" s="1056"/>
      <c r="L243" s="981"/>
      <c r="AN243" s="1059"/>
      <c r="AO243" s="1059"/>
      <c r="AP243" s="1056"/>
      <c r="AQ243" s="1056"/>
      <c r="AR243" s="1056"/>
      <c r="AS243" s="1056"/>
      <c r="AT243" s="1056"/>
      <c r="AU243" s="1056"/>
      <c r="AV243" s="1056"/>
      <c r="AW243" s="1056"/>
      <c r="AX243" s="1056"/>
      <c r="AY243" s="1056"/>
      <c r="AZ243" s="1056"/>
      <c r="BA243" s="1056"/>
      <c r="BB243" s="1056"/>
      <c r="BC243" s="1056"/>
      <c r="BD243" s="1056"/>
      <c r="BE243" s="1056"/>
      <c r="BF243" s="1056"/>
      <c r="BG243" s="1056"/>
      <c r="BH243" s="1056"/>
      <c r="BI243" s="1056"/>
      <c r="BJ243" s="1056"/>
      <c r="BK243" s="1056"/>
      <c r="BL243" s="1056"/>
      <c r="BM243" s="1056"/>
      <c r="BN243" s="1056"/>
      <c r="BO243" s="1056"/>
      <c r="BP243" s="1056"/>
      <c r="BQ243" s="1056"/>
      <c r="BR243" s="1056"/>
      <c r="BS243" s="1056"/>
      <c r="BT243" s="1056"/>
      <c r="BU243" s="1056"/>
      <c r="BV243" s="1056"/>
      <c r="BW243" s="1056"/>
      <c r="BX243" s="1056"/>
      <c r="BY243" s="1056"/>
      <c r="BZ243" s="1056"/>
      <c r="CA243" s="1056"/>
      <c r="CB243" s="1056"/>
      <c r="CC243" s="1056"/>
      <c r="CD243" s="1056"/>
      <c r="CE243" s="1056"/>
      <c r="CF243" s="1056"/>
      <c r="CG243" s="1056"/>
      <c r="CH243" s="1056"/>
      <c r="CI243" s="1056"/>
      <c r="CJ243" s="1056"/>
      <c r="CK243" s="1056"/>
      <c r="CL243" s="1056"/>
      <c r="CM243" s="1056"/>
    </row>
    <row r="244" spans="1:91" s="1058" customFormat="1" ht="15.75" customHeight="1">
      <c r="A244" s="1349"/>
      <c r="B244" s="1349"/>
      <c r="C244" s="1349"/>
      <c r="D244" s="1349"/>
      <c r="E244" s="1349"/>
      <c r="F244" s="1349"/>
      <c r="G244" s="1349"/>
      <c r="H244" s="1349"/>
      <c r="I244" s="1349"/>
      <c r="J244" s="1349"/>
      <c r="K244" s="1056"/>
      <c r="L244" s="981"/>
      <c r="AN244" s="1059"/>
      <c r="AO244" s="1059"/>
      <c r="AP244" s="1056"/>
      <c r="AQ244" s="1056"/>
      <c r="AR244" s="1056"/>
      <c r="AS244" s="1056"/>
      <c r="AT244" s="1056"/>
      <c r="AU244" s="1056"/>
      <c r="AV244" s="1056"/>
      <c r="AW244" s="1056"/>
      <c r="AX244" s="1056"/>
      <c r="AY244" s="1056"/>
      <c r="AZ244" s="1056"/>
      <c r="BA244" s="1056"/>
      <c r="BB244" s="1056"/>
      <c r="BC244" s="1056"/>
      <c r="BD244" s="1056"/>
      <c r="BE244" s="1056"/>
      <c r="BF244" s="1056"/>
      <c r="BG244" s="1056"/>
      <c r="BH244" s="1056"/>
      <c r="BI244" s="1056"/>
      <c r="BJ244" s="1056"/>
      <c r="BK244" s="1056"/>
      <c r="BL244" s="1056"/>
      <c r="BM244" s="1056"/>
      <c r="BN244" s="1056"/>
      <c r="BO244" s="1056"/>
      <c r="BP244" s="1056"/>
      <c r="BQ244" s="1056"/>
      <c r="BR244" s="1056"/>
      <c r="BS244" s="1056"/>
      <c r="BT244" s="1056"/>
      <c r="BU244" s="1056"/>
      <c r="BV244" s="1056"/>
      <c r="BW244" s="1056"/>
      <c r="BX244" s="1056"/>
      <c r="BY244" s="1056"/>
      <c r="BZ244" s="1056"/>
      <c r="CA244" s="1056"/>
      <c r="CB244" s="1056"/>
      <c r="CC244" s="1056"/>
      <c r="CD244" s="1056"/>
      <c r="CE244" s="1056"/>
      <c r="CF244" s="1056"/>
      <c r="CG244" s="1056"/>
      <c r="CH244" s="1056"/>
      <c r="CI244" s="1056"/>
      <c r="CJ244" s="1056"/>
      <c r="CK244" s="1056"/>
      <c r="CL244" s="1056"/>
      <c r="CM244" s="1056"/>
    </row>
    <row r="245" spans="1:91" s="1058" customFormat="1" ht="15.75" customHeight="1">
      <c r="A245" s="1349"/>
      <c r="B245" s="1349"/>
      <c r="C245" s="1349"/>
      <c r="D245" s="1349"/>
      <c r="E245" s="1349"/>
      <c r="F245" s="1349"/>
      <c r="G245" s="1349"/>
      <c r="H245" s="1349"/>
      <c r="I245" s="1349"/>
      <c r="J245" s="1349"/>
      <c r="K245" s="1056"/>
      <c r="L245" s="981"/>
      <c r="AN245" s="1059"/>
      <c r="AO245" s="1059"/>
      <c r="AP245" s="1056"/>
      <c r="AQ245" s="1056"/>
      <c r="AR245" s="1056"/>
      <c r="AS245" s="1056"/>
      <c r="AT245" s="1056"/>
      <c r="AU245" s="1056"/>
      <c r="AV245" s="1056"/>
      <c r="AW245" s="1056"/>
      <c r="AX245" s="1056"/>
      <c r="AY245" s="1056"/>
      <c r="AZ245" s="1056"/>
      <c r="BA245" s="1056"/>
      <c r="BB245" s="1056"/>
      <c r="BC245" s="1056"/>
      <c r="BD245" s="1056"/>
      <c r="BE245" s="1056"/>
      <c r="BF245" s="1056"/>
      <c r="BG245" s="1056"/>
      <c r="BH245" s="1056"/>
      <c r="BI245" s="1056"/>
      <c r="BJ245" s="1056"/>
      <c r="BK245" s="1056"/>
      <c r="BL245" s="1056"/>
      <c r="BM245" s="1056"/>
      <c r="BN245" s="1056"/>
      <c r="BO245" s="1056"/>
      <c r="BP245" s="1056"/>
      <c r="BQ245" s="1056"/>
      <c r="BR245" s="1056"/>
      <c r="BS245" s="1056"/>
      <c r="BT245" s="1056"/>
      <c r="BU245" s="1056"/>
      <c r="BV245" s="1056"/>
      <c r="BW245" s="1056"/>
      <c r="BX245" s="1056"/>
      <c r="BY245" s="1056"/>
      <c r="BZ245" s="1056"/>
      <c r="CA245" s="1056"/>
      <c r="CB245" s="1056"/>
      <c r="CC245" s="1056"/>
      <c r="CD245" s="1056"/>
      <c r="CE245" s="1056"/>
      <c r="CF245" s="1056"/>
      <c r="CG245" s="1056"/>
      <c r="CH245" s="1056"/>
      <c r="CI245" s="1056"/>
      <c r="CJ245" s="1056"/>
      <c r="CK245" s="1056"/>
      <c r="CL245" s="1056"/>
      <c r="CM245" s="1056"/>
    </row>
    <row r="246" spans="1:91" s="1058" customFormat="1" ht="15.75" customHeight="1">
      <c r="A246" s="1349"/>
      <c r="B246" s="1349"/>
      <c r="C246" s="1349"/>
      <c r="D246" s="1349"/>
      <c r="E246" s="1349"/>
      <c r="F246" s="1349"/>
      <c r="G246" s="1349"/>
      <c r="H246" s="1349"/>
      <c r="I246" s="1349"/>
      <c r="J246" s="1349"/>
      <c r="K246" s="1056"/>
      <c r="L246" s="981"/>
      <c r="AN246" s="1059"/>
      <c r="AO246" s="1059"/>
      <c r="AP246" s="1056"/>
      <c r="AQ246" s="1056"/>
      <c r="AR246" s="1056"/>
      <c r="AS246" s="1056"/>
      <c r="AT246" s="1056"/>
      <c r="AU246" s="1056"/>
      <c r="AV246" s="1056"/>
      <c r="AW246" s="1056"/>
      <c r="AX246" s="1056"/>
      <c r="AY246" s="1056"/>
      <c r="AZ246" s="1056"/>
      <c r="BA246" s="1056"/>
      <c r="BB246" s="1056"/>
      <c r="BC246" s="1056"/>
      <c r="BD246" s="1056"/>
      <c r="BE246" s="1056"/>
      <c r="BF246" s="1056"/>
      <c r="BG246" s="1056"/>
      <c r="BH246" s="1056"/>
      <c r="BI246" s="1056"/>
      <c r="BJ246" s="1056"/>
      <c r="BK246" s="1056"/>
      <c r="BL246" s="1056"/>
      <c r="BM246" s="1056"/>
      <c r="BN246" s="1056"/>
      <c r="BO246" s="1056"/>
      <c r="BP246" s="1056"/>
      <c r="BQ246" s="1056"/>
      <c r="BR246" s="1056"/>
      <c r="BS246" s="1056"/>
      <c r="BT246" s="1056"/>
      <c r="BU246" s="1056"/>
      <c r="BV246" s="1056"/>
      <c r="BW246" s="1056"/>
      <c r="BX246" s="1056"/>
      <c r="BY246" s="1056"/>
      <c r="BZ246" s="1056"/>
      <c r="CA246" s="1056"/>
      <c r="CB246" s="1056"/>
      <c r="CC246" s="1056"/>
      <c r="CD246" s="1056"/>
      <c r="CE246" s="1056"/>
      <c r="CF246" s="1056"/>
      <c r="CG246" s="1056"/>
      <c r="CH246" s="1056"/>
      <c r="CI246" s="1056"/>
      <c r="CJ246" s="1056"/>
      <c r="CK246" s="1056"/>
      <c r="CL246" s="1056"/>
      <c r="CM246" s="1056"/>
    </row>
    <row r="247" spans="1:91" s="1058" customFormat="1">
      <c r="A247" s="1299"/>
      <c r="B247" s="1300"/>
      <c r="C247" s="1055"/>
      <c r="D247" s="1055"/>
      <c r="E247" s="1056"/>
      <c r="F247" s="1056"/>
      <c r="G247" s="1056"/>
      <c r="H247" s="1056"/>
      <c r="I247" s="1056"/>
      <c r="J247" s="1056"/>
      <c r="K247" s="1056"/>
      <c r="L247" s="981"/>
      <c r="AN247" s="1059"/>
      <c r="AO247" s="1059"/>
      <c r="AP247" s="1056"/>
      <c r="AQ247" s="1056"/>
      <c r="AR247" s="1056"/>
      <c r="AS247" s="1056"/>
      <c r="AT247" s="1056"/>
      <c r="AU247" s="1056"/>
      <c r="AV247" s="1056"/>
      <c r="AW247" s="1056"/>
      <c r="AX247" s="1056"/>
      <c r="AY247" s="1056"/>
      <c r="AZ247" s="1056"/>
      <c r="BA247" s="1056"/>
      <c r="BB247" s="1056"/>
      <c r="BC247" s="1056"/>
      <c r="BD247" s="1056"/>
      <c r="BE247" s="1056"/>
      <c r="BF247" s="1056"/>
      <c r="BG247" s="1056"/>
      <c r="BH247" s="1056"/>
      <c r="BI247" s="1056"/>
      <c r="BJ247" s="1056"/>
      <c r="BK247" s="1056"/>
      <c r="BL247" s="1056"/>
      <c r="BM247" s="1056"/>
      <c r="BN247" s="1056"/>
      <c r="BO247" s="1056"/>
      <c r="BP247" s="1056"/>
      <c r="BQ247" s="1056"/>
      <c r="BR247" s="1056"/>
      <c r="BS247" s="1056"/>
      <c r="BT247" s="1056"/>
      <c r="BU247" s="1056"/>
      <c r="BV247" s="1056"/>
      <c r="BW247" s="1056"/>
      <c r="BX247" s="1056"/>
      <c r="BY247" s="1056"/>
      <c r="BZ247" s="1056"/>
      <c r="CA247" s="1056"/>
      <c r="CB247" s="1056"/>
      <c r="CC247" s="1056"/>
      <c r="CD247" s="1056"/>
      <c r="CE247" s="1056"/>
      <c r="CF247" s="1056"/>
      <c r="CG247" s="1056"/>
      <c r="CH247" s="1056"/>
      <c r="CI247" s="1056"/>
      <c r="CJ247" s="1056"/>
      <c r="CK247" s="1056"/>
      <c r="CL247" s="1056"/>
      <c r="CM247" s="1056"/>
    </row>
    <row r="248" spans="1:91" s="1058" customFormat="1">
      <c r="A248" s="1299"/>
      <c r="B248" s="1300"/>
      <c r="C248" s="1055"/>
      <c r="D248" s="1055"/>
      <c r="E248" s="1056"/>
      <c r="F248" s="1056"/>
      <c r="G248" s="1056"/>
      <c r="H248" s="1056"/>
      <c r="I248" s="1056"/>
      <c r="J248" s="1056"/>
      <c r="K248" s="1056"/>
      <c r="L248" s="981"/>
      <c r="AN248" s="1059"/>
      <c r="AO248" s="1059"/>
      <c r="AP248" s="1056"/>
      <c r="AQ248" s="1056"/>
      <c r="AR248" s="1056"/>
      <c r="AS248" s="1056"/>
      <c r="AT248" s="1056"/>
      <c r="AU248" s="1056"/>
      <c r="AV248" s="1056"/>
      <c r="AW248" s="1056"/>
      <c r="AX248" s="1056"/>
      <c r="AY248" s="1056"/>
      <c r="AZ248" s="1056"/>
      <c r="BA248" s="1056"/>
      <c r="BB248" s="1056"/>
      <c r="BC248" s="1056"/>
      <c r="BD248" s="1056"/>
      <c r="BE248" s="1056"/>
      <c r="BF248" s="1056"/>
      <c r="BG248" s="1056"/>
      <c r="BH248" s="1056"/>
      <c r="BI248" s="1056"/>
      <c r="BJ248" s="1056"/>
      <c r="BK248" s="1056"/>
      <c r="BL248" s="1056"/>
      <c r="BM248" s="1056"/>
      <c r="BN248" s="1056"/>
      <c r="BO248" s="1056"/>
      <c r="BP248" s="1056"/>
      <c r="BQ248" s="1056"/>
      <c r="BR248" s="1056"/>
      <c r="BS248" s="1056"/>
      <c r="BT248" s="1056"/>
      <c r="BU248" s="1056"/>
      <c r="BV248" s="1056"/>
      <c r="BW248" s="1056"/>
      <c r="BX248" s="1056"/>
      <c r="BY248" s="1056"/>
      <c r="BZ248" s="1056"/>
      <c r="CA248" s="1056"/>
      <c r="CB248" s="1056"/>
      <c r="CC248" s="1056"/>
      <c r="CD248" s="1056"/>
      <c r="CE248" s="1056"/>
      <c r="CF248" s="1056"/>
      <c r="CG248" s="1056"/>
      <c r="CH248" s="1056"/>
      <c r="CI248" s="1056"/>
      <c r="CJ248" s="1056"/>
      <c r="CK248" s="1056"/>
      <c r="CL248" s="1056"/>
      <c r="CM248" s="1056"/>
    </row>
    <row r="249" spans="1:91" s="1058" customFormat="1">
      <c r="A249" s="1299"/>
      <c r="B249" s="1300"/>
      <c r="C249" s="1055"/>
      <c r="D249" s="1055"/>
      <c r="E249" s="1056"/>
      <c r="F249" s="1056"/>
      <c r="G249" s="1056"/>
      <c r="H249" s="1056"/>
      <c r="I249" s="1056"/>
      <c r="J249" s="1056"/>
      <c r="K249" s="1056"/>
      <c r="L249" s="981"/>
      <c r="AN249" s="1059"/>
      <c r="AO249" s="1059"/>
      <c r="AP249" s="1056"/>
      <c r="AQ249" s="1056"/>
      <c r="AR249" s="1056"/>
      <c r="AS249" s="1056"/>
      <c r="AT249" s="1056"/>
      <c r="AU249" s="1056"/>
      <c r="AV249" s="1056"/>
      <c r="AW249" s="1056"/>
      <c r="AX249" s="1056"/>
      <c r="AY249" s="1056"/>
      <c r="AZ249" s="1056"/>
      <c r="BA249" s="1056"/>
      <c r="BB249" s="1056"/>
      <c r="BC249" s="1056"/>
      <c r="BD249" s="1056"/>
      <c r="BE249" s="1056"/>
      <c r="BF249" s="1056"/>
      <c r="BG249" s="1056"/>
      <c r="BH249" s="1056"/>
      <c r="BI249" s="1056"/>
      <c r="BJ249" s="1056"/>
      <c r="BK249" s="1056"/>
      <c r="BL249" s="1056"/>
      <c r="BM249" s="1056"/>
      <c r="BN249" s="1056"/>
      <c r="BO249" s="1056"/>
      <c r="BP249" s="1056"/>
      <c r="BQ249" s="1056"/>
      <c r="BR249" s="1056"/>
      <c r="BS249" s="1056"/>
      <c r="BT249" s="1056"/>
      <c r="BU249" s="1056"/>
      <c r="BV249" s="1056"/>
      <c r="BW249" s="1056"/>
      <c r="BX249" s="1056"/>
      <c r="BY249" s="1056"/>
      <c r="BZ249" s="1056"/>
      <c r="CA249" s="1056"/>
      <c r="CB249" s="1056"/>
      <c r="CC249" s="1056"/>
      <c r="CD249" s="1056"/>
      <c r="CE249" s="1056"/>
      <c r="CF249" s="1056"/>
      <c r="CG249" s="1056"/>
      <c r="CH249" s="1056"/>
      <c r="CI249" s="1056"/>
      <c r="CJ249" s="1056"/>
      <c r="CK249" s="1056"/>
      <c r="CL249" s="1056"/>
      <c r="CM249" s="1056"/>
    </row>
    <row r="250" spans="1:91" s="1058" customFormat="1">
      <c r="A250" s="1299"/>
      <c r="B250" s="1300"/>
      <c r="C250" s="1055"/>
      <c r="D250" s="1055"/>
      <c r="E250" s="1056"/>
      <c r="F250" s="1056"/>
      <c r="G250" s="1056"/>
      <c r="H250" s="1056"/>
      <c r="I250" s="1056"/>
      <c r="J250" s="1056"/>
      <c r="K250" s="1056"/>
      <c r="L250" s="981"/>
      <c r="AN250" s="1059"/>
      <c r="AO250" s="1059"/>
      <c r="AP250" s="1056"/>
      <c r="AQ250" s="1056"/>
      <c r="AR250" s="1056"/>
      <c r="AS250" s="1056"/>
      <c r="AT250" s="1056"/>
      <c r="AU250" s="1056"/>
      <c r="AV250" s="1056"/>
      <c r="AW250" s="1056"/>
      <c r="AX250" s="1056"/>
      <c r="AY250" s="1056"/>
      <c r="AZ250" s="1056"/>
      <c r="BA250" s="1056"/>
      <c r="BB250" s="1056"/>
      <c r="BC250" s="1056"/>
      <c r="BD250" s="1056"/>
      <c r="BE250" s="1056"/>
      <c r="BF250" s="1056"/>
      <c r="BG250" s="1056"/>
      <c r="BH250" s="1056"/>
      <c r="BI250" s="1056"/>
      <c r="BJ250" s="1056"/>
      <c r="BK250" s="1056"/>
      <c r="BL250" s="1056"/>
      <c r="BM250" s="1056"/>
      <c r="BN250" s="1056"/>
      <c r="BO250" s="1056"/>
      <c r="BP250" s="1056"/>
      <c r="BQ250" s="1056"/>
      <c r="BR250" s="1056"/>
      <c r="BS250" s="1056"/>
      <c r="BT250" s="1056"/>
      <c r="BU250" s="1056"/>
      <c r="BV250" s="1056"/>
      <c r="BW250" s="1056"/>
      <c r="BX250" s="1056"/>
      <c r="BY250" s="1056"/>
      <c r="BZ250" s="1056"/>
      <c r="CA250" s="1056"/>
      <c r="CB250" s="1056"/>
      <c r="CC250" s="1056"/>
      <c r="CD250" s="1056"/>
      <c r="CE250" s="1056"/>
      <c r="CF250" s="1056"/>
      <c r="CG250" s="1056"/>
      <c r="CH250" s="1056"/>
      <c r="CI250" s="1056"/>
      <c r="CJ250" s="1056"/>
      <c r="CK250" s="1056"/>
      <c r="CL250" s="1056"/>
      <c r="CM250" s="1056"/>
    </row>
    <row r="251" spans="1:91" s="1058" customFormat="1">
      <c r="A251" s="1299"/>
      <c r="B251" s="1300"/>
      <c r="C251" s="1055"/>
      <c r="D251" s="1055"/>
      <c r="E251" s="1056"/>
      <c r="F251" s="1056"/>
      <c r="G251" s="1056"/>
      <c r="H251" s="1056"/>
      <c r="I251" s="1056"/>
      <c r="J251" s="1056"/>
      <c r="K251" s="1056"/>
      <c r="L251" s="981"/>
      <c r="AN251" s="1059"/>
      <c r="AO251" s="1059"/>
      <c r="AP251" s="1056"/>
      <c r="AQ251" s="1056"/>
      <c r="AR251" s="1056"/>
      <c r="AS251" s="1056"/>
      <c r="AT251" s="1056"/>
      <c r="AU251" s="1056"/>
      <c r="AV251" s="1056"/>
      <c r="AW251" s="1056"/>
      <c r="AX251" s="1056"/>
      <c r="AY251" s="1056"/>
      <c r="AZ251" s="1056"/>
      <c r="BA251" s="1056"/>
      <c r="BB251" s="1056"/>
      <c r="BC251" s="1056"/>
      <c r="BD251" s="1056"/>
      <c r="BE251" s="1056"/>
      <c r="BF251" s="1056"/>
      <c r="BG251" s="1056"/>
      <c r="BH251" s="1056"/>
      <c r="BI251" s="1056"/>
      <c r="BJ251" s="1056"/>
      <c r="BK251" s="1056"/>
      <c r="BL251" s="1056"/>
      <c r="BM251" s="1056"/>
      <c r="BN251" s="1056"/>
      <c r="BO251" s="1056"/>
      <c r="BP251" s="1056"/>
      <c r="BQ251" s="1056"/>
      <c r="BR251" s="1056"/>
      <c r="BS251" s="1056"/>
      <c r="BT251" s="1056"/>
      <c r="BU251" s="1056"/>
      <c r="BV251" s="1056"/>
      <c r="BW251" s="1056"/>
      <c r="BX251" s="1056"/>
      <c r="BY251" s="1056"/>
      <c r="BZ251" s="1056"/>
      <c r="CA251" s="1056"/>
      <c r="CB251" s="1056"/>
      <c r="CC251" s="1056"/>
      <c r="CD251" s="1056"/>
      <c r="CE251" s="1056"/>
      <c r="CF251" s="1056"/>
      <c r="CG251" s="1056"/>
      <c r="CH251" s="1056"/>
      <c r="CI251" s="1056"/>
      <c r="CJ251" s="1056"/>
      <c r="CK251" s="1056"/>
      <c r="CL251" s="1056"/>
      <c r="CM251" s="1056"/>
    </row>
    <row r="252" spans="1:91" s="1058" customFormat="1">
      <c r="A252" s="1299"/>
      <c r="B252" s="1300"/>
      <c r="C252" s="1055"/>
      <c r="D252" s="1055"/>
      <c r="E252" s="1056"/>
      <c r="F252" s="1056"/>
      <c r="G252" s="1056"/>
      <c r="H252" s="1056"/>
      <c r="I252" s="1056"/>
      <c r="J252" s="1056"/>
      <c r="K252" s="1056"/>
      <c r="L252" s="981"/>
      <c r="AN252" s="1059"/>
      <c r="AO252" s="1059"/>
      <c r="AP252" s="1056"/>
      <c r="AQ252" s="1056"/>
      <c r="AR252" s="1056"/>
      <c r="AS252" s="1056"/>
      <c r="AT252" s="1056"/>
      <c r="AU252" s="1056"/>
      <c r="AV252" s="1056"/>
      <c r="AW252" s="1056"/>
      <c r="AX252" s="1056"/>
      <c r="AY252" s="1056"/>
      <c r="AZ252" s="1056"/>
      <c r="BA252" s="1056"/>
      <c r="BB252" s="1056"/>
      <c r="BC252" s="1056"/>
      <c r="BD252" s="1056"/>
      <c r="BE252" s="1056"/>
      <c r="BF252" s="1056"/>
      <c r="BG252" s="1056"/>
      <c r="BH252" s="1056"/>
      <c r="BI252" s="1056"/>
      <c r="BJ252" s="1056"/>
      <c r="BK252" s="1056"/>
      <c r="BL252" s="1056"/>
      <c r="BM252" s="1056"/>
      <c r="BN252" s="1056"/>
      <c r="BO252" s="1056"/>
      <c r="BP252" s="1056"/>
      <c r="BQ252" s="1056"/>
      <c r="BR252" s="1056"/>
      <c r="BS252" s="1056"/>
      <c r="BT252" s="1056"/>
      <c r="BU252" s="1056"/>
      <c r="BV252" s="1056"/>
      <c r="BW252" s="1056"/>
      <c r="BX252" s="1056"/>
      <c r="BY252" s="1056"/>
      <c r="BZ252" s="1056"/>
      <c r="CA252" s="1056"/>
      <c r="CB252" s="1056"/>
      <c r="CC252" s="1056"/>
      <c r="CD252" s="1056"/>
      <c r="CE252" s="1056"/>
      <c r="CF252" s="1056"/>
      <c r="CG252" s="1056"/>
      <c r="CH252" s="1056"/>
      <c r="CI252" s="1056"/>
      <c r="CJ252" s="1056"/>
      <c r="CK252" s="1056"/>
      <c r="CL252" s="1056"/>
      <c r="CM252" s="1056"/>
    </row>
    <row r="253" spans="1:91" s="1058" customFormat="1">
      <c r="A253" s="1299"/>
      <c r="B253" s="1300"/>
      <c r="C253" s="1055"/>
      <c r="D253" s="1055"/>
      <c r="E253" s="1056"/>
      <c r="F253" s="1056"/>
      <c r="G253" s="1056"/>
      <c r="H253" s="1056"/>
      <c r="I253" s="1056"/>
      <c r="J253" s="1056"/>
      <c r="K253" s="1056"/>
      <c r="L253" s="981"/>
      <c r="AN253" s="1059"/>
      <c r="AO253" s="1059"/>
      <c r="AP253" s="1056"/>
      <c r="AQ253" s="1056"/>
      <c r="AR253" s="1056"/>
      <c r="AS253" s="1056"/>
      <c r="AT253" s="1056"/>
      <c r="AU253" s="1056"/>
      <c r="AV253" s="1056"/>
      <c r="AW253" s="1056"/>
      <c r="AX253" s="1056"/>
      <c r="AY253" s="1056"/>
      <c r="AZ253" s="1056"/>
      <c r="BA253" s="1056"/>
      <c r="BB253" s="1056"/>
      <c r="BC253" s="1056"/>
      <c r="BD253" s="1056"/>
      <c r="BE253" s="1056"/>
      <c r="BF253" s="1056"/>
      <c r="BG253" s="1056"/>
      <c r="BH253" s="1056"/>
      <c r="BI253" s="1056"/>
      <c r="BJ253" s="1056"/>
      <c r="BK253" s="1056"/>
      <c r="BL253" s="1056"/>
      <c r="BM253" s="1056"/>
      <c r="BN253" s="1056"/>
      <c r="BO253" s="1056"/>
      <c r="BP253" s="1056"/>
      <c r="BQ253" s="1056"/>
      <c r="BR253" s="1056"/>
      <c r="BS253" s="1056"/>
      <c r="BT253" s="1056"/>
      <c r="BU253" s="1056"/>
      <c r="BV253" s="1056"/>
      <c r="BW253" s="1056"/>
      <c r="BX253" s="1056"/>
      <c r="BY253" s="1056"/>
      <c r="BZ253" s="1056"/>
      <c r="CA253" s="1056"/>
      <c r="CB253" s="1056"/>
      <c r="CC253" s="1056"/>
      <c r="CD253" s="1056"/>
      <c r="CE253" s="1056"/>
      <c r="CF253" s="1056"/>
      <c r="CG253" s="1056"/>
      <c r="CH253" s="1056"/>
      <c r="CI253" s="1056"/>
      <c r="CJ253" s="1056"/>
      <c r="CK253" s="1056"/>
      <c r="CL253" s="1056"/>
      <c r="CM253" s="1056"/>
    </row>
    <row r="254" spans="1:91" s="1058" customFormat="1">
      <c r="A254" s="1299"/>
      <c r="B254" s="1300"/>
      <c r="C254" s="1055"/>
      <c r="D254" s="1055"/>
      <c r="E254" s="1056"/>
      <c r="F254" s="1056"/>
      <c r="G254" s="1056"/>
      <c r="H254" s="1056"/>
      <c r="I254" s="1056"/>
      <c r="J254" s="1056"/>
      <c r="K254" s="1056"/>
      <c r="L254" s="981"/>
      <c r="AN254" s="1059"/>
      <c r="AO254" s="1059"/>
      <c r="AP254" s="1056"/>
      <c r="AQ254" s="1056"/>
      <c r="AR254" s="1056"/>
      <c r="AS254" s="1056"/>
      <c r="AT254" s="1056"/>
      <c r="AU254" s="1056"/>
      <c r="AV254" s="1056"/>
      <c r="AW254" s="1056"/>
      <c r="AX254" s="1056"/>
      <c r="AY254" s="1056"/>
      <c r="AZ254" s="1056"/>
      <c r="BA254" s="1056"/>
      <c r="BB254" s="1056"/>
      <c r="BC254" s="1056"/>
      <c r="BD254" s="1056"/>
      <c r="BE254" s="1056"/>
      <c r="BF254" s="1056"/>
      <c r="BG254" s="1056"/>
      <c r="BH254" s="1056"/>
      <c r="BI254" s="1056"/>
      <c r="BJ254" s="1056"/>
      <c r="BK254" s="1056"/>
      <c r="BL254" s="1056"/>
      <c r="BM254" s="1056"/>
      <c r="BN254" s="1056"/>
      <c r="BO254" s="1056"/>
      <c r="BP254" s="1056"/>
      <c r="BQ254" s="1056"/>
      <c r="BR254" s="1056"/>
      <c r="BS254" s="1056"/>
      <c r="BT254" s="1056"/>
      <c r="BU254" s="1056"/>
      <c r="BV254" s="1056"/>
      <c r="BW254" s="1056"/>
      <c r="BX254" s="1056"/>
      <c r="BY254" s="1056"/>
      <c r="BZ254" s="1056"/>
      <c r="CA254" s="1056"/>
      <c r="CB254" s="1056"/>
      <c r="CC254" s="1056"/>
      <c r="CD254" s="1056"/>
      <c r="CE254" s="1056"/>
      <c r="CF254" s="1056"/>
      <c r="CG254" s="1056"/>
      <c r="CH254" s="1056"/>
      <c r="CI254" s="1056"/>
      <c r="CJ254" s="1056"/>
      <c r="CK254" s="1056"/>
      <c r="CL254" s="1056"/>
      <c r="CM254" s="1056"/>
    </row>
    <row r="255" spans="1:91" s="1058" customFormat="1">
      <c r="A255" s="1299"/>
      <c r="B255" s="1300"/>
      <c r="C255" s="1055"/>
      <c r="D255" s="1055"/>
      <c r="E255" s="1056"/>
      <c r="F255" s="1056"/>
      <c r="G255" s="1056"/>
      <c r="H255" s="1056"/>
      <c r="I255" s="1056"/>
      <c r="J255" s="1056"/>
      <c r="K255" s="1056"/>
      <c r="L255" s="981"/>
      <c r="AN255" s="1059"/>
      <c r="AO255" s="1059"/>
      <c r="AP255" s="1056"/>
      <c r="AQ255" s="1056"/>
      <c r="AR255" s="1056"/>
      <c r="AS255" s="1056"/>
      <c r="AT255" s="1056"/>
      <c r="AU255" s="1056"/>
      <c r="AV255" s="1056"/>
      <c r="AW255" s="1056"/>
      <c r="AX255" s="1056"/>
      <c r="AY255" s="1056"/>
      <c r="AZ255" s="1056"/>
      <c r="BA255" s="1056"/>
      <c r="BB255" s="1056"/>
      <c r="BC255" s="1056"/>
      <c r="BD255" s="1056"/>
      <c r="BE255" s="1056"/>
      <c r="BF255" s="1056"/>
      <c r="BG255" s="1056"/>
      <c r="BH255" s="1056"/>
      <c r="BI255" s="1056"/>
      <c r="BJ255" s="1056"/>
      <c r="BK255" s="1056"/>
      <c r="BL255" s="1056"/>
      <c r="BM255" s="1056"/>
      <c r="BN255" s="1056"/>
      <c r="BO255" s="1056"/>
      <c r="BP255" s="1056"/>
      <c r="BQ255" s="1056"/>
      <c r="BR255" s="1056"/>
      <c r="BS255" s="1056"/>
      <c r="BT255" s="1056"/>
      <c r="BU255" s="1056"/>
      <c r="BV255" s="1056"/>
      <c r="BW255" s="1056"/>
      <c r="BX255" s="1056"/>
      <c r="BY255" s="1056"/>
      <c r="BZ255" s="1056"/>
      <c r="CA255" s="1056"/>
      <c r="CB255" s="1056"/>
      <c r="CC255" s="1056"/>
      <c r="CD255" s="1056"/>
      <c r="CE255" s="1056"/>
      <c r="CF255" s="1056"/>
      <c r="CG255" s="1056"/>
      <c r="CH255" s="1056"/>
      <c r="CI255" s="1056"/>
      <c r="CJ255" s="1056"/>
      <c r="CK255" s="1056"/>
      <c r="CL255" s="1056"/>
      <c r="CM255" s="1056"/>
    </row>
    <row r="256" spans="1:91" s="1058" customFormat="1">
      <c r="A256" s="1299"/>
      <c r="B256" s="1300"/>
      <c r="C256" s="1055"/>
      <c r="D256" s="1055"/>
      <c r="E256" s="1056"/>
      <c r="F256" s="1056"/>
      <c r="G256" s="1056"/>
      <c r="H256" s="1056"/>
      <c r="I256" s="1056"/>
      <c r="J256" s="1056"/>
      <c r="K256" s="1056"/>
      <c r="L256" s="981"/>
      <c r="AN256" s="1059"/>
      <c r="AO256" s="1059"/>
      <c r="AP256" s="1056"/>
      <c r="AQ256" s="1056"/>
      <c r="AR256" s="1056"/>
      <c r="AS256" s="1056"/>
      <c r="AT256" s="1056"/>
      <c r="AU256" s="1056"/>
      <c r="AV256" s="1056"/>
      <c r="AW256" s="1056"/>
      <c r="AX256" s="1056"/>
      <c r="AY256" s="1056"/>
      <c r="AZ256" s="1056"/>
      <c r="BA256" s="1056"/>
      <c r="BB256" s="1056"/>
      <c r="BC256" s="1056"/>
      <c r="BD256" s="1056"/>
      <c r="BE256" s="1056"/>
      <c r="BF256" s="1056"/>
      <c r="BG256" s="1056"/>
      <c r="BH256" s="1056"/>
      <c r="BI256" s="1056"/>
      <c r="BJ256" s="1056"/>
      <c r="BK256" s="1056"/>
      <c r="BL256" s="1056"/>
      <c r="BM256" s="1056"/>
      <c r="BN256" s="1056"/>
      <c r="BO256" s="1056"/>
      <c r="BP256" s="1056"/>
      <c r="BQ256" s="1056"/>
      <c r="BR256" s="1056"/>
      <c r="BS256" s="1056"/>
      <c r="BT256" s="1056"/>
      <c r="BU256" s="1056"/>
      <c r="BV256" s="1056"/>
      <c r="BW256" s="1056"/>
      <c r="BX256" s="1056"/>
      <c r="BY256" s="1056"/>
      <c r="BZ256" s="1056"/>
      <c r="CA256" s="1056"/>
      <c r="CB256" s="1056"/>
      <c r="CC256" s="1056"/>
      <c r="CD256" s="1056"/>
      <c r="CE256" s="1056"/>
      <c r="CF256" s="1056"/>
      <c r="CG256" s="1056"/>
      <c r="CH256" s="1056"/>
      <c r="CI256" s="1056"/>
      <c r="CJ256" s="1056"/>
      <c r="CK256" s="1056"/>
      <c r="CL256" s="1056"/>
      <c r="CM256" s="1056"/>
    </row>
    <row r="257" spans="1:91" s="1058" customFormat="1">
      <c r="A257" s="1299"/>
      <c r="B257" s="1300"/>
      <c r="C257" s="1055"/>
      <c r="D257" s="1055"/>
      <c r="E257" s="1056"/>
      <c r="F257" s="1056"/>
      <c r="G257" s="1056"/>
      <c r="H257" s="1056"/>
      <c r="I257" s="1056"/>
      <c r="J257" s="1056"/>
      <c r="K257" s="1056"/>
      <c r="L257" s="981"/>
      <c r="AN257" s="1059"/>
      <c r="AO257" s="1059"/>
      <c r="AP257" s="1056"/>
      <c r="AQ257" s="1056"/>
      <c r="AR257" s="1056"/>
      <c r="AS257" s="1056"/>
      <c r="AT257" s="1056"/>
      <c r="AU257" s="1056"/>
      <c r="AV257" s="1056"/>
      <c r="AW257" s="1056"/>
      <c r="AX257" s="1056"/>
      <c r="AY257" s="1056"/>
      <c r="AZ257" s="1056"/>
      <c r="BA257" s="1056"/>
      <c r="BB257" s="1056"/>
      <c r="BC257" s="1056"/>
      <c r="BD257" s="1056"/>
      <c r="BE257" s="1056"/>
      <c r="BF257" s="1056"/>
      <c r="BG257" s="1056"/>
      <c r="BH257" s="1056"/>
      <c r="BI257" s="1056"/>
      <c r="BJ257" s="1056"/>
      <c r="BK257" s="1056"/>
      <c r="BL257" s="1056"/>
      <c r="BM257" s="1056"/>
      <c r="BN257" s="1056"/>
      <c r="BO257" s="1056"/>
      <c r="BP257" s="1056"/>
      <c r="BQ257" s="1056"/>
      <c r="BR257" s="1056"/>
      <c r="BS257" s="1056"/>
      <c r="BT257" s="1056"/>
      <c r="BU257" s="1056"/>
      <c r="BV257" s="1056"/>
      <c r="BW257" s="1056"/>
      <c r="BX257" s="1056"/>
      <c r="BY257" s="1056"/>
      <c r="BZ257" s="1056"/>
      <c r="CA257" s="1056"/>
      <c r="CB257" s="1056"/>
      <c r="CC257" s="1056"/>
      <c r="CD257" s="1056"/>
      <c r="CE257" s="1056"/>
      <c r="CF257" s="1056"/>
      <c r="CG257" s="1056"/>
      <c r="CH257" s="1056"/>
      <c r="CI257" s="1056"/>
      <c r="CJ257" s="1056"/>
      <c r="CK257" s="1056"/>
      <c r="CL257" s="1056"/>
      <c r="CM257" s="1056"/>
    </row>
    <row r="258" spans="1:91" s="1058" customFormat="1">
      <c r="A258" s="1299"/>
      <c r="B258" s="1300"/>
      <c r="C258" s="1055"/>
      <c r="D258" s="1055"/>
      <c r="E258" s="1056"/>
      <c r="F258" s="1056"/>
      <c r="G258" s="1056"/>
      <c r="H258" s="1056"/>
      <c r="I258" s="1056"/>
      <c r="J258" s="1056"/>
      <c r="K258" s="1056"/>
      <c r="L258" s="981"/>
      <c r="AN258" s="1059"/>
      <c r="AO258" s="1059"/>
      <c r="AP258" s="1056"/>
      <c r="AQ258" s="1056"/>
      <c r="AR258" s="1056"/>
      <c r="AS258" s="1056"/>
      <c r="AT258" s="1056"/>
      <c r="AU258" s="1056"/>
      <c r="AV258" s="1056"/>
      <c r="AW258" s="1056"/>
      <c r="AX258" s="1056"/>
      <c r="AY258" s="1056"/>
      <c r="AZ258" s="1056"/>
      <c r="BA258" s="1056"/>
      <c r="BB258" s="1056"/>
      <c r="BC258" s="1056"/>
      <c r="BD258" s="1056"/>
      <c r="BE258" s="1056"/>
      <c r="BF258" s="1056"/>
      <c r="BG258" s="1056"/>
      <c r="BH258" s="1056"/>
      <c r="BI258" s="1056"/>
      <c r="BJ258" s="1056"/>
      <c r="BK258" s="1056"/>
      <c r="BL258" s="1056"/>
      <c r="BM258" s="1056"/>
      <c r="BN258" s="1056"/>
      <c r="BO258" s="1056"/>
      <c r="BP258" s="1056"/>
      <c r="BQ258" s="1056"/>
      <c r="BR258" s="1056"/>
      <c r="BS258" s="1056"/>
      <c r="BT258" s="1056"/>
      <c r="BU258" s="1056"/>
      <c r="BV258" s="1056"/>
      <c r="BW258" s="1056"/>
      <c r="BX258" s="1056"/>
      <c r="BY258" s="1056"/>
      <c r="BZ258" s="1056"/>
      <c r="CA258" s="1056"/>
      <c r="CB258" s="1056"/>
      <c r="CC258" s="1056"/>
      <c r="CD258" s="1056"/>
      <c r="CE258" s="1056"/>
      <c r="CF258" s="1056"/>
      <c r="CG258" s="1056"/>
      <c r="CH258" s="1056"/>
      <c r="CI258" s="1056"/>
      <c r="CJ258" s="1056"/>
      <c r="CK258" s="1056"/>
      <c r="CL258" s="1056"/>
      <c r="CM258" s="1056"/>
    </row>
    <row r="259" spans="1:91" s="1058" customFormat="1">
      <c r="A259" s="1299"/>
      <c r="B259" s="1300"/>
      <c r="C259" s="1055"/>
      <c r="D259" s="1055"/>
      <c r="E259" s="1056"/>
      <c r="F259" s="1056"/>
      <c r="G259" s="1056"/>
      <c r="H259" s="1056"/>
      <c r="I259" s="1056"/>
      <c r="J259" s="1056"/>
      <c r="K259" s="1056"/>
      <c r="L259" s="981"/>
      <c r="AN259" s="1059"/>
      <c r="AO259" s="1059"/>
      <c r="AP259" s="1056"/>
      <c r="AQ259" s="1056"/>
      <c r="AR259" s="1056"/>
      <c r="AS259" s="1056"/>
      <c r="AT259" s="1056"/>
      <c r="AU259" s="1056"/>
      <c r="AV259" s="1056"/>
      <c r="AW259" s="1056"/>
      <c r="AX259" s="1056"/>
      <c r="AY259" s="1056"/>
      <c r="AZ259" s="1056"/>
      <c r="BA259" s="1056"/>
      <c r="BB259" s="1056"/>
      <c r="BC259" s="1056"/>
      <c r="BD259" s="1056"/>
      <c r="BE259" s="1056"/>
      <c r="BF259" s="1056"/>
      <c r="BG259" s="1056"/>
      <c r="BH259" s="1056"/>
      <c r="BI259" s="1056"/>
      <c r="BJ259" s="1056"/>
      <c r="BK259" s="1056"/>
      <c r="BL259" s="1056"/>
      <c r="BM259" s="1056"/>
      <c r="BN259" s="1056"/>
      <c r="BO259" s="1056"/>
      <c r="BP259" s="1056"/>
      <c r="BQ259" s="1056"/>
      <c r="BR259" s="1056"/>
      <c r="BS259" s="1056"/>
      <c r="BT259" s="1056"/>
      <c r="BU259" s="1056"/>
      <c r="BV259" s="1056"/>
      <c r="BW259" s="1056"/>
      <c r="BX259" s="1056"/>
      <c r="BY259" s="1056"/>
      <c r="BZ259" s="1056"/>
      <c r="CA259" s="1056"/>
      <c r="CB259" s="1056"/>
      <c r="CC259" s="1056"/>
      <c r="CD259" s="1056"/>
      <c r="CE259" s="1056"/>
      <c r="CF259" s="1056"/>
      <c r="CG259" s="1056"/>
      <c r="CH259" s="1056"/>
      <c r="CI259" s="1056"/>
      <c r="CJ259" s="1056"/>
      <c r="CK259" s="1056"/>
      <c r="CL259" s="1056"/>
      <c r="CM259" s="1056"/>
    </row>
    <row r="260" spans="1:91" s="1058" customFormat="1">
      <c r="A260" s="1299"/>
      <c r="B260" s="1300"/>
      <c r="C260" s="1055"/>
      <c r="D260" s="1055"/>
      <c r="E260" s="1056"/>
      <c r="F260" s="1056"/>
      <c r="G260" s="1056"/>
      <c r="H260" s="1056"/>
      <c r="I260" s="1056"/>
      <c r="J260" s="1056"/>
      <c r="K260" s="1056"/>
      <c r="L260" s="981"/>
      <c r="AN260" s="1059"/>
      <c r="AO260" s="1059"/>
      <c r="AP260" s="1056"/>
      <c r="AQ260" s="1056"/>
      <c r="AR260" s="1056"/>
      <c r="AS260" s="1056"/>
      <c r="AT260" s="1056"/>
      <c r="AU260" s="1056"/>
      <c r="AV260" s="1056"/>
      <c r="AW260" s="1056"/>
      <c r="AX260" s="1056"/>
      <c r="AY260" s="1056"/>
      <c r="AZ260" s="1056"/>
      <c r="BA260" s="1056"/>
      <c r="BB260" s="1056"/>
      <c r="BC260" s="1056"/>
      <c r="BD260" s="1056"/>
      <c r="BE260" s="1056"/>
      <c r="BF260" s="1056"/>
      <c r="BG260" s="1056"/>
      <c r="BH260" s="1056"/>
      <c r="BI260" s="1056"/>
      <c r="BJ260" s="1056"/>
      <c r="BK260" s="1056"/>
      <c r="BL260" s="1056"/>
      <c r="BM260" s="1056"/>
      <c r="BN260" s="1056"/>
      <c r="BO260" s="1056"/>
      <c r="BP260" s="1056"/>
      <c r="BQ260" s="1056"/>
      <c r="BR260" s="1056"/>
      <c r="BS260" s="1056"/>
      <c r="BT260" s="1056"/>
      <c r="BU260" s="1056"/>
      <c r="BV260" s="1056"/>
      <c r="BW260" s="1056"/>
      <c r="BX260" s="1056"/>
      <c r="BY260" s="1056"/>
      <c r="BZ260" s="1056"/>
      <c r="CA260" s="1056"/>
      <c r="CB260" s="1056"/>
      <c r="CC260" s="1056"/>
      <c r="CD260" s="1056"/>
      <c r="CE260" s="1056"/>
      <c r="CF260" s="1056"/>
      <c r="CG260" s="1056"/>
      <c r="CH260" s="1056"/>
      <c r="CI260" s="1056"/>
      <c r="CJ260" s="1056"/>
      <c r="CK260" s="1056"/>
      <c r="CL260" s="1056"/>
      <c r="CM260" s="1056"/>
    </row>
    <row r="261" spans="1:91" s="1058" customFormat="1">
      <c r="A261" s="1299"/>
      <c r="B261" s="1300"/>
      <c r="C261" s="1055"/>
      <c r="D261" s="1055"/>
      <c r="E261" s="1056"/>
      <c r="F261" s="1056"/>
      <c r="G261" s="1056"/>
      <c r="H261" s="1056"/>
      <c r="I261" s="1056"/>
      <c r="J261" s="1056"/>
      <c r="K261" s="1056"/>
      <c r="L261" s="981"/>
      <c r="AN261" s="1059"/>
      <c r="AO261" s="1059"/>
      <c r="AP261" s="1056"/>
      <c r="AQ261" s="1056"/>
      <c r="AR261" s="1056"/>
      <c r="AS261" s="1056"/>
      <c r="AT261" s="1056"/>
      <c r="AU261" s="1056"/>
      <c r="AV261" s="1056"/>
      <c r="AW261" s="1056"/>
      <c r="AX261" s="1056"/>
      <c r="AY261" s="1056"/>
      <c r="AZ261" s="1056"/>
      <c r="BA261" s="1056"/>
      <c r="BB261" s="1056"/>
      <c r="BC261" s="1056"/>
      <c r="BD261" s="1056"/>
      <c r="BE261" s="1056"/>
      <c r="BF261" s="1056"/>
      <c r="BG261" s="1056"/>
      <c r="BH261" s="1056"/>
      <c r="BI261" s="1056"/>
      <c r="BJ261" s="1056"/>
      <c r="BK261" s="1056"/>
      <c r="BL261" s="1056"/>
      <c r="BM261" s="1056"/>
      <c r="BN261" s="1056"/>
      <c r="BO261" s="1056"/>
      <c r="BP261" s="1056"/>
      <c r="BQ261" s="1056"/>
      <c r="BR261" s="1056"/>
      <c r="BS261" s="1056"/>
      <c r="BT261" s="1056"/>
      <c r="BU261" s="1056"/>
      <c r="BV261" s="1056"/>
      <c r="BW261" s="1056"/>
      <c r="BX261" s="1056"/>
      <c r="BY261" s="1056"/>
      <c r="BZ261" s="1056"/>
      <c r="CA261" s="1056"/>
      <c r="CB261" s="1056"/>
      <c r="CC261" s="1056"/>
      <c r="CD261" s="1056"/>
      <c r="CE261" s="1056"/>
      <c r="CF261" s="1056"/>
      <c r="CG261" s="1056"/>
      <c r="CH261" s="1056"/>
      <c r="CI261" s="1056"/>
      <c r="CJ261" s="1056"/>
      <c r="CK261" s="1056"/>
      <c r="CL261" s="1056"/>
      <c r="CM261" s="1056"/>
    </row>
    <row r="262" spans="1:91" s="1058" customFormat="1">
      <c r="A262" s="1299"/>
      <c r="B262" s="1300"/>
      <c r="C262" s="1055"/>
      <c r="D262" s="1055"/>
      <c r="E262" s="1056"/>
      <c r="F262" s="1056"/>
      <c r="G262" s="1056"/>
      <c r="H262" s="1056"/>
      <c r="I262" s="1056"/>
      <c r="J262" s="1056"/>
      <c r="K262" s="1056"/>
      <c r="L262" s="981"/>
      <c r="AN262" s="1059"/>
      <c r="AO262" s="1059"/>
      <c r="AP262" s="1056"/>
      <c r="AQ262" s="1056"/>
      <c r="AR262" s="1056"/>
      <c r="AS262" s="1056"/>
      <c r="AT262" s="1056"/>
      <c r="AU262" s="1056"/>
      <c r="AV262" s="1056"/>
      <c r="AW262" s="1056"/>
      <c r="AX262" s="1056"/>
      <c r="AY262" s="1056"/>
      <c r="AZ262" s="1056"/>
      <c r="BA262" s="1056"/>
      <c r="BB262" s="1056"/>
      <c r="BC262" s="1056"/>
      <c r="BD262" s="1056"/>
      <c r="BE262" s="1056"/>
      <c r="BF262" s="1056"/>
      <c r="BG262" s="1056"/>
      <c r="BH262" s="1056"/>
      <c r="BI262" s="1056"/>
      <c r="BJ262" s="1056"/>
      <c r="BK262" s="1056"/>
      <c r="BL262" s="1056"/>
      <c r="BM262" s="1056"/>
      <c r="BN262" s="1056"/>
      <c r="BO262" s="1056"/>
      <c r="BP262" s="1056"/>
      <c r="BQ262" s="1056"/>
      <c r="BR262" s="1056"/>
      <c r="BS262" s="1056"/>
      <c r="BT262" s="1056"/>
      <c r="BU262" s="1056"/>
      <c r="BV262" s="1056"/>
      <c r="BW262" s="1056"/>
      <c r="BX262" s="1056"/>
      <c r="BY262" s="1056"/>
      <c r="BZ262" s="1056"/>
      <c r="CA262" s="1056"/>
      <c r="CB262" s="1056"/>
      <c r="CC262" s="1056"/>
      <c r="CD262" s="1056"/>
      <c r="CE262" s="1056"/>
      <c r="CF262" s="1056"/>
      <c r="CG262" s="1056"/>
      <c r="CH262" s="1056"/>
      <c r="CI262" s="1056"/>
      <c r="CJ262" s="1056"/>
      <c r="CK262" s="1056"/>
      <c r="CL262" s="1056"/>
      <c r="CM262" s="1056"/>
    </row>
    <row r="263" spans="1:91" s="1058" customFormat="1">
      <c r="A263" s="1299"/>
      <c r="B263" s="1300"/>
      <c r="C263" s="1055"/>
      <c r="D263" s="1055"/>
      <c r="E263" s="1056"/>
      <c r="F263" s="1056"/>
      <c r="G263" s="1056"/>
      <c r="H263" s="1056"/>
      <c r="I263" s="1056"/>
      <c r="J263" s="1056"/>
      <c r="K263" s="1056"/>
      <c r="L263" s="981"/>
      <c r="AN263" s="1059"/>
      <c r="AO263" s="1059"/>
      <c r="AP263" s="1056"/>
      <c r="AQ263" s="1056"/>
      <c r="AR263" s="1056"/>
      <c r="AS263" s="1056"/>
      <c r="AT263" s="1056"/>
      <c r="AU263" s="1056"/>
      <c r="AV263" s="1056"/>
      <c r="AW263" s="1056"/>
      <c r="AX263" s="1056"/>
      <c r="AY263" s="1056"/>
      <c r="AZ263" s="1056"/>
      <c r="BA263" s="1056"/>
      <c r="BB263" s="1056"/>
      <c r="BC263" s="1056"/>
      <c r="BD263" s="1056"/>
      <c r="BE263" s="1056"/>
      <c r="BF263" s="1056"/>
      <c r="BG263" s="1056"/>
      <c r="BH263" s="1056"/>
      <c r="BI263" s="1056"/>
      <c r="BJ263" s="1056"/>
      <c r="BK263" s="1056"/>
      <c r="BL263" s="1056"/>
      <c r="BM263" s="1056"/>
      <c r="BN263" s="1056"/>
      <c r="BO263" s="1056"/>
      <c r="BP263" s="1056"/>
      <c r="BQ263" s="1056"/>
      <c r="BR263" s="1056"/>
      <c r="BS263" s="1056"/>
      <c r="BT263" s="1056"/>
      <c r="BU263" s="1056"/>
      <c r="BV263" s="1056"/>
      <c r="BW263" s="1056"/>
      <c r="BX263" s="1056"/>
      <c r="BY263" s="1056"/>
      <c r="BZ263" s="1056"/>
      <c r="CA263" s="1056"/>
      <c r="CB263" s="1056"/>
      <c r="CC263" s="1056"/>
      <c r="CD263" s="1056"/>
      <c r="CE263" s="1056"/>
      <c r="CF263" s="1056"/>
      <c r="CG263" s="1056"/>
      <c r="CH263" s="1056"/>
      <c r="CI263" s="1056"/>
      <c r="CJ263" s="1056"/>
      <c r="CK263" s="1056"/>
      <c r="CL263" s="1056"/>
      <c r="CM263" s="1056"/>
    </row>
    <row r="264" spans="1:91" s="1058" customFormat="1">
      <c r="A264" s="1299"/>
      <c r="B264" s="1300"/>
      <c r="C264" s="1055"/>
      <c r="D264" s="1055"/>
      <c r="E264" s="1056"/>
      <c r="F264" s="1056"/>
      <c r="G264" s="1056"/>
      <c r="H264" s="1056"/>
      <c r="I264" s="1056"/>
      <c r="J264" s="1056"/>
      <c r="K264" s="1056"/>
      <c r="L264" s="981"/>
      <c r="AN264" s="1059"/>
      <c r="AO264" s="1059"/>
      <c r="AP264" s="1056"/>
      <c r="AQ264" s="1056"/>
      <c r="AR264" s="1056"/>
      <c r="AS264" s="1056"/>
      <c r="AT264" s="1056"/>
      <c r="AU264" s="1056"/>
      <c r="AV264" s="1056"/>
      <c r="AW264" s="1056"/>
      <c r="AX264" s="1056"/>
      <c r="AY264" s="1056"/>
      <c r="AZ264" s="1056"/>
      <c r="BA264" s="1056"/>
      <c r="BB264" s="1056"/>
      <c r="BC264" s="1056"/>
      <c r="BD264" s="1056"/>
      <c r="BE264" s="1056"/>
      <c r="BF264" s="1056"/>
      <c r="BG264" s="1056"/>
      <c r="BH264" s="1056"/>
      <c r="BI264" s="1056"/>
      <c r="BJ264" s="1056"/>
      <c r="BK264" s="1056"/>
      <c r="BL264" s="1056"/>
      <c r="BM264" s="1056"/>
      <c r="BN264" s="1056"/>
      <c r="BO264" s="1056"/>
      <c r="BP264" s="1056"/>
      <c r="BQ264" s="1056"/>
      <c r="BR264" s="1056"/>
      <c r="BS264" s="1056"/>
      <c r="BT264" s="1056"/>
      <c r="BU264" s="1056"/>
      <c r="BV264" s="1056"/>
      <c r="BW264" s="1056"/>
      <c r="BX264" s="1056"/>
      <c r="BY264" s="1056"/>
      <c r="BZ264" s="1056"/>
      <c r="CA264" s="1056"/>
      <c r="CB264" s="1056"/>
      <c r="CC264" s="1056"/>
      <c r="CD264" s="1056"/>
      <c r="CE264" s="1056"/>
      <c r="CF264" s="1056"/>
      <c r="CG264" s="1056"/>
      <c r="CH264" s="1056"/>
      <c r="CI264" s="1056"/>
      <c r="CJ264" s="1056"/>
      <c r="CK264" s="1056"/>
      <c r="CL264" s="1056"/>
      <c r="CM264" s="1056"/>
    </row>
    <row r="265" spans="1:91" s="1058" customFormat="1">
      <c r="A265" s="1299"/>
      <c r="B265" s="1300"/>
      <c r="C265" s="1055"/>
      <c r="D265" s="1055"/>
      <c r="E265" s="1056"/>
      <c r="F265" s="1056"/>
      <c r="G265" s="1056"/>
      <c r="H265" s="1056"/>
      <c r="I265" s="1056"/>
      <c r="J265" s="1056"/>
      <c r="K265" s="1056"/>
      <c r="L265" s="981"/>
      <c r="AN265" s="1059"/>
      <c r="AO265" s="1059"/>
      <c r="AP265" s="1056"/>
      <c r="AQ265" s="1056"/>
      <c r="AR265" s="1056"/>
      <c r="AS265" s="1056"/>
      <c r="AT265" s="1056"/>
      <c r="AU265" s="1056"/>
      <c r="AV265" s="1056"/>
      <c r="AW265" s="1056"/>
      <c r="AX265" s="1056"/>
      <c r="AY265" s="1056"/>
      <c r="AZ265" s="1056"/>
      <c r="BA265" s="1056"/>
      <c r="BB265" s="1056"/>
      <c r="BC265" s="1056"/>
      <c r="BD265" s="1056"/>
      <c r="BE265" s="1056"/>
      <c r="BF265" s="1056"/>
      <c r="BG265" s="1056"/>
      <c r="BH265" s="1056"/>
      <c r="BI265" s="1056"/>
      <c r="BJ265" s="1056"/>
      <c r="BK265" s="1056"/>
      <c r="BL265" s="1056"/>
      <c r="BM265" s="1056"/>
      <c r="BN265" s="1056"/>
      <c r="BO265" s="1056"/>
      <c r="BP265" s="1056"/>
      <c r="BQ265" s="1056"/>
      <c r="BR265" s="1056"/>
      <c r="BS265" s="1056"/>
      <c r="BT265" s="1056"/>
      <c r="BU265" s="1056"/>
      <c r="BV265" s="1056"/>
      <c r="BW265" s="1056"/>
      <c r="BX265" s="1056"/>
      <c r="BY265" s="1056"/>
      <c r="BZ265" s="1056"/>
      <c r="CA265" s="1056"/>
      <c r="CB265" s="1056"/>
      <c r="CC265" s="1056"/>
      <c r="CD265" s="1056"/>
      <c r="CE265" s="1056"/>
      <c r="CF265" s="1056"/>
      <c r="CG265" s="1056"/>
      <c r="CH265" s="1056"/>
      <c r="CI265" s="1056"/>
      <c r="CJ265" s="1056"/>
      <c r="CK265" s="1056"/>
      <c r="CL265" s="1056"/>
      <c r="CM265" s="1056"/>
    </row>
    <row r="266" spans="1:91" s="1058" customFormat="1">
      <c r="A266" s="1299"/>
      <c r="B266" s="1300"/>
      <c r="C266" s="1055"/>
      <c r="D266" s="1055"/>
      <c r="E266" s="1056"/>
      <c r="F266" s="1056"/>
      <c r="G266" s="1056"/>
      <c r="H266" s="1056"/>
      <c r="I266" s="1056"/>
      <c r="J266" s="1056"/>
      <c r="K266" s="1056"/>
      <c r="L266" s="981"/>
      <c r="AN266" s="1059"/>
      <c r="AO266" s="1059"/>
      <c r="AP266" s="1056"/>
      <c r="AQ266" s="1056"/>
      <c r="AR266" s="1056"/>
      <c r="AS266" s="1056"/>
      <c r="AT266" s="1056"/>
      <c r="AU266" s="1056"/>
      <c r="AV266" s="1056"/>
      <c r="AW266" s="1056"/>
      <c r="AX266" s="1056"/>
      <c r="AY266" s="1056"/>
      <c r="AZ266" s="1056"/>
      <c r="BA266" s="1056"/>
      <c r="BB266" s="1056"/>
      <c r="BC266" s="1056"/>
      <c r="BD266" s="1056"/>
      <c r="BE266" s="1056"/>
      <c r="BF266" s="1056"/>
      <c r="BG266" s="1056"/>
      <c r="BH266" s="1056"/>
      <c r="BI266" s="1056"/>
      <c r="BJ266" s="1056"/>
      <c r="BK266" s="1056"/>
      <c r="BL266" s="1056"/>
      <c r="BM266" s="1056"/>
      <c r="BN266" s="1056"/>
      <c r="BO266" s="1056"/>
      <c r="BP266" s="1056"/>
      <c r="BQ266" s="1056"/>
      <c r="BR266" s="1056"/>
      <c r="BS266" s="1056"/>
      <c r="BT266" s="1056"/>
      <c r="BU266" s="1056"/>
      <c r="BV266" s="1056"/>
      <c r="BW266" s="1056"/>
      <c r="BX266" s="1056"/>
      <c r="BY266" s="1056"/>
      <c r="BZ266" s="1056"/>
      <c r="CA266" s="1056"/>
      <c r="CB266" s="1056"/>
      <c r="CC266" s="1056"/>
      <c r="CD266" s="1056"/>
      <c r="CE266" s="1056"/>
      <c r="CF266" s="1056"/>
      <c r="CG266" s="1056"/>
      <c r="CH266" s="1056"/>
      <c r="CI266" s="1056"/>
      <c r="CJ266" s="1056"/>
      <c r="CK266" s="1056"/>
      <c r="CL266" s="1056"/>
      <c r="CM266" s="1056"/>
    </row>
    <row r="267" spans="1:91" s="1058" customFormat="1">
      <c r="A267" s="1299"/>
      <c r="B267" s="1300"/>
      <c r="C267" s="1055"/>
      <c r="D267" s="1055"/>
      <c r="E267" s="1056"/>
      <c r="F267" s="1056"/>
      <c r="G267" s="1056"/>
      <c r="H267" s="1056"/>
      <c r="I267" s="1056"/>
      <c r="J267" s="1056"/>
      <c r="K267" s="1056"/>
      <c r="L267" s="981"/>
      <c r="AN267" s="1059"/>
      <c r="AO267" s="1059"/>
      <c r="AP267" s="1056"/>
      <c r="AQ267" s="1056"/>
      <c r="AR267" s="1056"/>
      <c r="AS267" s="1056"/>
      <c r="AT267" s="1056"/>
      <c r="AU267" s="1056"/>
      <c r="AV267" s="1056"/>
      <c r="AW267" s="1056"/>
      <c r="AX267" s="1056"/>
      <c r="AY267" s="1056"/>
      <c r="AZ267" s="1056"/>
      <c r="BA267" s="1056"/>
      <c r="BB267" s="1056"/>
      <c r="BC267" s="1056"/>
      <c r="BD267" s="1056"/>
      <c r="BE267" s="1056"/>
      <c r="BF267" s="1056"/>
      <c r="BG267" s="1056"/>
      <c r="BH267" s="1056"/>
      <c r="BI267" s="1056"/>
      <c r="BJ267" s="1056"/>
      <c r="BK267" s="1056"/>
      <c r="BL267" s="1056"/>
      <c r="BM267" s="1056"/>
      <c r="BN267" s="1056"/>
      <c r="BO267" s="1056"/>
      <c r="BP267" s="1056"/>
      <c r="BQ267" s="1056"/>
      <c r="BR267" s="1056"/>
      <c r="BS267" s="1056"/>
      <c r="BT267" s="1056"/>
      <c r="BU267" s="1056"/>
      <c r="BV267" s="1056"/>
      <c r="BW267" s="1056"/>
      <c r="BX267" s="1056"/>
      <c r="BY267" s="1056"/>
      <c r="BZ267" s="1056"/>
      <c r="CA267" s="1056"/>
      <c r="CB267" s="1056"/>
      <c r="CC267" s="1056"/>
      <c r="CD267" s="1056"/>
      <c r="CE267" s="1056"/>
      <c r="CF267" s="1056"/>
      <c r="CG267" s="1056"/>
      <c r="CH267" s="1056"/>
      <c r="CI267" s="1056"/>
      <c r="CJ267" s="1056"/>
      <c r="CK267" s="1056"/>
      <c r="CL267" s="1056"/>
      <c r="CM267" s="1056"/>
    </row>
    <row r="268" spans="1:91" s="1058" customFormat="1">
      <c r="A268" s="1299"/>
      <c r="B268" s="1300"/>
      <c r="C268" s="1055"/>
      <c r="D268" s="1055"/>
      <c r="E268" s="1056"/>
      <c r="F268" s="1056"/>
      <c r="G268" s="1056"/>
      <c r="H268" s="1056"/>
      <c r="I268" s="1056"/>
      <c r="J268" s="1056"/>
      <c r="K268" s="1056"/>
      <c r="L268" s="981"/>
      <c r="AN268" s="1059"/>
      <c r="AO268" s="1059"/>
      <c r="AP268" s="1056"/>
      <c r="AQ268" s="1056"/>
      <c r="AR268" s="1056"/>
      <c r="AS268" s="1056"/>
      <c r="AT268" s="1056"/>
      <c r="AU268" s="1056"/>
      <c r="AV268" s="1056"/>
      <c r="AW268" s="1056"/>
      <c r="AX268" s="1056"/>
      <c r="AY268" s="1056"/>
      <c r="AZ268" s="1056"/>
      <c r="BA268" s="1056"/>
      <c r="BB268" s="1056"/>
      <c r="BC268" s="1056"/>
      <c r="BD268" s="1056"/>
      <c r="BE268" s="1056"/>
      <c r="BF268" s="1056"/>
      <c r="BG268" s="1056"/>
      <c r="BH268" s="1056"/>
      <c r="BI268" s="1056"/>
      <c r="BJ268" s="1056"/>
      <c r="BK268" s="1056"/>
      <c r="BL268" s="1056"/>
      <c r="BM268" s="1056"/>
      <c r="BN268" s="1056"/>
      <c r="BO268" s="1056"/>
      <c r="BP268" s="1056"/>
      <c r="BQ268" s="1056"/>
      <c r="BR268" s="1056"/>
      <c r="BS268" s="1056"/>
      <c r="BT268" s="1056"/>
      <c r="BU268" s="1056"/>
      <c r="BV268" s="1056"/>
      <c r="BW268" s="1056"/>
      <c r="BX268" s="1056"/>
      <c r="BY268" s="1056"/>
      <c r="BZ268" s="1056"/>
      <c r="CA268" s="1056"/>
      <c r="CB268" s="1056"/>
      <c r="CC268" s="1056"/>
      <c r="CD268" s="1056"/>
      <c r="CE268" s="1056"/>
      <c r="CF268" s="1056"/>
      <c r="CG268" s="1056"/>
      <c r="CH268" s="1056"/>
      <c r="CI268" s="1056"/>
      <c r="CJ268" s="1056"/>
      <c r="CK268" s="1056"/>
      <c r="CL268" s="1056"/>
      <c r="CM268" s="1056"/>
    </row>
  </sheetData>
  <sheetProtection insertColumns="0" insertRows="0"/>
  <mergeCells count="35">
    <mergeCell ref="A12:K12"/>
    <mergeCell ref="A5:B5"/>
    <mergeCell ref="A1:B1"/>
    <mergeCell ref="A2:B2"/>
    <mergeCell ref="A3:B3"/>
    <mergeCell ref="I3:K3"/>
    <mergeCell ref="A4:B4"/>
    <mergeCell ref="A6:B6"/>
    <mergeCell ref="A8:B8"/>
    <mergeCell ref="A9:B9"/>
    <mergeCell ref="J10:K10"/>
    <mergeCell ref="A11:K11"/>
    <mergeCell ref="E50:K50"/>
    <mergeCell ref="A14:A15"/>
    <mergeCell ref="B14:C15"/>
    <mergeCell ref="E15:K15"/>
    <mergeCell ref="B18:C18"/>
    <mergeCell ref="B19:C19"/>
    <mergeCell ref="B46:C46"/>
    <mergeCell ref="A49:A50"/>
    <mergeCell ref="B49:B50"/>
    <mergeCell ref="C49:C50"/>
    <mergeCell ref="B196:C197"/>
    <mergeCell ref="A181:A182"/>
    <mergeCell ref="B181:C182"/>
    <mergeCell ref="E182:K182"/>
    <mergeCell ref="B184:C185"/>
    <mergeCell ref="A193:A194"/>
    <mergeCell ref="B193:C194"/>
    <mergeCell ref="E194:K194"/>
    <mergeCell ref="O116:Q116"/>
    <mergeCell ref="A132:A133"/>
    <mergeCell ref="B132:B133"/>
    <mergeCell ref="C132:C133"/>
    <mergeCell ref="E133:K133"/>
  </mergeCells>
  <conditionalFormatting sqref="L116">
    <cfRule type="cellIs" dxfId="2" priority="14" stopIfTrue="1" operator="notEqual">
      <formula>$K$115</formula>
    </cfRule>
  </conditionalFormatting>
  <conditionalFormatting sqref="D115">
    <cfRule type="cellIs" dxfId="1" priority="6" operator="notEqual">
      <formula>$D$116</formula>
    </cfRule>
  </conditionalFormatting>
  <conditionalFormatting sqref="E18:F18">
    <cfRule type="cellIs" dxfId="0" priority="5" operator="notEqual">
      <formula>$E$81</formula>
    </cfRule>
  </conditionalFormatting>
  <dataValidations count="2">
    <dataValidation allowBlank="1" showInputMessage="1" showErrorMessage="1" prompt="Dz. Obsł. Samorz. wylicza kwotę zwrotu od kwot planowanych na przelewy redstrybucyjne" sqref="D77:L77"/>
    <dataValidation allowBlank="1" showInputMessage="1" showErrorMessage="1" promptTitle="Wydatki ogółem" prompt="w memoriale muszą różnić się od kasowych tylko_x000a_o różnicę AMORTYZACJI oraz ODPISÓW" sqref="D18:L18"/>
  </dataValidations>
  <pageMargins left="0.78740157480314965" right="0.78740157480314965" top="1.0629921259842521" bottom="1.0629921259842521" header="0.78740157480314965" footer="0.78740157480314965"/>
  <pageSetup paperSize="9" scale="27" firstPageNumber="0" fitToWidth="3" fitToHeight="3" orientation="portrait" r:id="rId1"/>
  <headerFooter alignWithMargins="0">
    <oddFooter>&amp;C&amp;"Times New Roman,Normalny"Strona &amp;P</oddFooter>
  </headerFooter>
  <rowBreaks count="1" manualBreakCount="1">
    <brk id="107" max="11" man="1"/>
  </rowBreaks>
  <ignoredErrors>
    <ignoredError sqref="G51 K51" numberStoredAsText="1"/>
    <ignoredError sqref="L116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="68" zoomScaleNormal="65" zoomScaleSheetLayoutView="68" workbookViewId="0">
      <pane xSplit="2" ySplit="8" topLeftCell="C9" activePane="bottomRight" state="frozen"/>
      <selection activeCell="B210" sqref="B210"/>
      <selection pane="topRight" activeCell="B210" sqref="B210"/>
      <selection pane="bottomLeft" activeCell="B210" sqref="B210"/>
      <selection pane="bottomRight" activeCell="B210" sqref="B210"/>
    </sheetView>
  </sheetViews>
  <sheetFormatPr defaultColWidth="9" defaultRowHeight="15.6"/>
  <cols>
    <col min="1" max="1" width="0" style="437" hidden="1" customWidth="1"/>
    <col min="2" max="2" width="114.09765625" style="437" bestFit="1" customWidth="1"/>
    <col min="3" max="4" width="12.59765625" style="437" bestFit="1" customWidth="1"/>
    <col min="5" max="5" width="15.8984375" style="437" bestFit="1" customWidth="1"/>
    <col min="6" max="7" width="15" style="437" bestFit="1" customWidth="1"/>
    <col min="8" max="8" width="18" style="437" bestFit="1" customWidth="1"/>
    <col min="9" max="9" width="12.59765625" style="437" bestFit="1" customWidth="1"/>
    <col min="10" max="10" width="10.3984375" style="437" bestFit="1" customWidth="1"/>
    <col min="11" max="11" width="15.8984375" style="437" bestFit="1" customWidth="1"/>
    <col min="12" max="12" width="12.59765625" style="437" bestFit="1" customWidth="1"/>
    <col min="13" max="13" width="11.5" style="437" bestFit="1" customWidth="1"/>
    <col min="14" max="14" width="15.8984375" style="437" bestFit="1" customWidth="1"/>
    <col min="15" max="15" width="12.59765625" style="437" bestFit="1" customWidth="1"/>
    <col min="16" max="16" width="10.3984375" style="437" bestFit="1" customWidth="1"/>
    <col min="17" max="17" width="15.8984375" style="437" bestFit="1" customWidth="1"/>
    <col min="18" max="19" width="12.59765625" style="437" bestFit="1" customWidth="1"/>
    <col min="20" max="20" width="15.8984375" style="437" bestFit="1" customWidth="1"/>
    <col min="21" max="22" width="14.09765625" style="439" bestFit="1" customWidth="1"/>
    <col min="23" max="23" width="18" style="439" bestFit="1" customWidth="1"/>
    <col min="24" max="24" width="13" style="439" hidden="1" customWidth="1"/>
    <col min="25" max="25" width="7.09765625" style="440" hidden="1" customWidth="1"/>
    <col min="26" max="26" width="15" style="437" hidden="1" customWidth="1"/>
    <col min="27" max="27" width="12.19921875" style="437" hidden="1" customWidth="1"/>
    <col min="28" max="28" width="0" style="439" hidden="1" customWidth="1"/>
    <col min="29" max="29" width="0" style="437" hidden="1" customWidth="1"/>
    <col min="30" max="16384" width="9" style="437"/>
  </cols>
  <sheetData>
    <row r="1" spans="1:29">
      <c r="F1" s="438"/>
      <c r="G1" s="438"/>
      <c r="H1" s="438"/>
    </row>
    <row r="2" spans="1:29" ht="21">
      <c r="A2" s="441" t="s">
        <v>510</v>
      </c>
      <c r="B2" s="2034" t="str">
        <f>C8</f>
        <v xml:space="preserve">Plan  
na 2016 r. </v>
      </c>
      <c r="D2" s="2283" t="s">
        <v>1117</v>
      </c>
      <c r="E2" s="2284"/>
      <c r="F2" s="2284"/>
      <c r="G2" s="2284"/>
      <c r="R2" s="2283"/>
      <c r="S2" s="2284"/>
      <c r="T2" s="2284"/>
      <c r="U2" s="2284"/>
      <c r="X2" s="443"/>
    </row>
    <row r="3" spans="1:29" s="445" customFormat="1" ht="21" customHeight="1">
      <c r="A3" s="444" t="s">
        <v>141</v>
      </c>
      <c r="B3" s="442" t="s">
        <v>141</v>
      </c>
      <c r="D3" s="2284"/>
      <c r="E3" s="2284"/>
      <c r="F3" s="2284"/>
      <c r="G3" s="2284"/>
      <c r="R3" s="2284"/>
      <c r="S3" s="2284"/>
      <c r="T3" s="2284"/>
      <c r="U3" s="2284"/>
      <c r="V3" s="446"/>
      <c r="W3" s="446"/>
      <c r="X3" s="446"/>
      <c r="Y3" s="440"/>
      <c r="AB3" s="446"/>
    </row>
    <row r="4" spans="1:29" s="445" customFormat="1" ht="18" customHeight="1">
      <c r="A4" s="444" t="s">
        <v>511</v>
      </c>
      <c r="B4" s="442" t="s">
        <v>511</v>
      </c>
      <c r="D4" s="2284"/>
      <c r="E4" s="2284"/>
      <c r="F4" s="2284"/>
      <c r="G4" s="2284"/>
      <c r="R4" s="2284"/>
      <c r="S4" s="2284"/>
      <c r="T4" s="2284"/>
      <c r="U4" s="2284"/>
      <c r="V4" s="446"/>
      <c r="W4" s="446"/>
      <c r="X4" s="446"/>
      <c r="Y4" s="440"/>
      <c r="AB4" s="446"/>
    </row>
    <row r="5" spans="1:29" s="445" customFormat="1" ht="15" customHeight="1">
      <c r="B5" s="441"/>
      <c r="C5" s="441"/>
      <c r="D5" s="2284"/>
      <c r="E5" s="2284"/>
      <c r="F5" s="2284"/>
      <c r="G5" s="2284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2284"/>
      <c r="S5" s="2284"/>
      <c r="T5" s="2284"/>
      <c r="U5" s="2284"/>
      <c r="X5" s="446"/>
      <c r="Y5" s="440"/>
      <c r="AB5" s="446"/>
    </row>
    <row r="6" spans="1:29" s="445" customFormat="1" ht="15" customHeight="1" thickBot="1"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6"/>
      <c r="V6" s="446"/>
      <c r="W6" s="446"/>
      <c r="Y6" s="440"/>
      <c r="AB6" s="446"/>
    </row>
    <row r="7" spans="1:29" s="447" customFormat="1" ht="63" customHeight="1" thickBot="1">
      <c r="A7" s="2277" t="s">
        <v>512</v>
      </c>
      <c r="B7" s="2278" t="s">
        <v>513</v>
      </c>
      <c r="C7" s="2279" t="s">
        <v>1081</v>
      </c>
      <c r="D7" s="2280"/>
      <c r="E7" s="2281"/>
      <c r="F7" s="2279" t="s">
        <v>1082</v>
      </c>
      <c r="G7" s="2280"/>
      <c r="H7" s="2281"/>
      <c r="I7" s="2282" t="s">
        <v>1083</v>
      </c>
      <c r="J7" s="2282"/>
      <c r="K7" s="2282"/>
      <c r="L7" s="2282" t="s">
        <v>1084</v>
      </c>
      <c r="M7" s="2282"/>
      <c r="N7" s="2282"/>
      <c r="O7" s="2282" t="s">
        <v>1085</v>
      </c>
      <c r="P7" s="2282"/>
      <c r="Q7" s="2282"/>
      <c r="R7" s="2282" t="s">
        <v>1086</v>
      </c>
      <c r="S7" s="2282"/>
      <c r="T7" s="2282"/>
      <c r="U7" s="2282" t="s">
        <v>1087</v>
      </c>
      <c r="V7" s="2282"/>
      <c r="W7" s="2282"/>
      <c r="X7" s="2285" t="s">
        <v>514</v>
      </c>
      <c r="Y7" s="440"/>
      <c r="AB7" s="448"/>
    </row>
    <row r="8" spans="1:29" s="447" customFormat="1" ht="90" customHeight="1" thickBot="1">
      <c r="A8" s="2277"/>
      <c r="B8" s="2278"/>
      <c r="C8" s="449" t="s">
        <v>1143</v>
      </c>
      <c r="D8" s="449" t="str">
        <f>'Pl 2014-17 PFC MF'!I14</f>
        <v xml:space="preserve">Zmiany  </v>
      </c>
      <c r="E8" s="449" t="str">
        <f>'Pl 2014-17 PFC MF'!J14</f>
        <v xml:space="preserve">Plan wg. Ustawy Budżetowej zmieniony za zgodą MF z dnia 
28 kwietnia 2016 r. oraz 
opinią KFP z dnia 28 kwietnia 2016 r. </v>
      </c>
      <c r="F8" s="449" t="str">
        <f>C8</f>
        <v xml:space="preserve">Plan  
na 2016 r. </v>
      </c>
      <c r="G8" s="449" t="str">
        <f>D8</f>
        <v xml:space="preserve">Zmiany  </v>
      </c>
      <c r="H8" s="449" t="str">
        <f>E8</f>
        <v xml:space="preserve">Plan wg. Ustawy Budżetowej zmieniony za zgodą MF z dnia 
28 kwietnia 2016 r. oraz 
opinią KFP z dnia 28 kwietnia 2016 r. </v>
      </c>
      <c r="I8" s="449" t="str">
        <f>C8</f>
        <v xml:space="preserve">Plan  
na 2016 r. </v>
      </c>
      <c r="J8" s="449" t="str">
        <f>D8</f>
        <v xml:space="preserve">Zmiany  </v>
      </c>
      <c r="K8" s="449" t="str">
        <f>E8</f>
        <v xml:space="preserve">Plan wg. Ustawy Budżetowej zmieniony za zgodą MF z dnia 
28 kwietnia 2016 r. oraz 
opinią KFP z dnia 28 kwietnia 2016 r. </v>
      </c>
      <c r="L8" s="449" t="str">
        <f t="shared" ref="L8:W8" si="0">I8</f>
        <v xml:space="preserve">Plan  
na 2016 r. </v>
      </c>
      <c r="M8" s="449" t="str">
        <f t="shared" si="0"/>
        <v xml:space="preserve">Zmiany  </v>
      </c>
      <c r="N8" s="449" t="str">
        <f t="shared" si="0"/>
        <v xml:space="preserve">Plan wg. Ustawy Budżetowej zmieniony za zgodą MF z dnia 
28 kwietnia 2016 r. oraz 
opinią KFP z dnia 28 kwietnia 2016 r. </v>
      </c>
      <c r="O8" s="449" t="str">
        <f t="shared" si="0"/>
        <v xml:space="preserve">Plan  
na 2016 r. </v>
      </c>
      <c r="P8" s="449" t="str">
        <f t="shared" si="0"/>
        <v xml:space="preserve">Zmiany  </v>
      </c>
      <c r="Q8" s="449" t="str">
        <f t="shared" si="0"/>
        <v xml:space="preserve">Plan wg. Ustawy Budżetowej zmieniony za zgodą MF z dnia 
28 kwietnia 2016 r. oraz 
opinią KFP z dnia 28 kwietnia 2016 r. </v>
      </c>
      <c r="R8" s="449" t="str">
        <f t="shared" si="0"/>
        <v xml:space="preserve">Plan  
na 2016 r. </v>
      </c>
      <c r="S8" s="449" t="str">
        <f t="shared" si="0"/>
        <v xml:space="preserve">Zmiany  </v>
      </c>
      <c r="T8" s="449" t="str">
        <f t="shared" si="0"/>
        <v xml:space="preserve">Plan wg. Ustawy Budżetowej zmieniony za zgodą MF z dnia 
28 kwietnia 2016 r. oraz 
opinią KFP z dnia 28 kwietnia 2016 r. </v>
      </c>
      <c r="U8" s="449" t="str">
        <f t="shared" si="0"/>
        <v xml:space="preserve">Plan  
na 2016 r. </v>
      </c>
      <c r="V8" s="449" t="str">
        <f t="shared" si="0"/>
        <v xml:space="preserve">Zmiany  </v>
      </c>
      <c r="W8" s="449" t="str">
        <f t="shared" si="0"/>
        <v xml:space="preserve">Plan wg. Ustawy Budżetowej zmieniony za zgodą MF z dnia 
28 kwietnia 2016 r. oraz 
opinią KFP z dnia 28 kwietnia 2016 r. </v>
      </c>
      <c r="X8" s="2285"/>
      <c r="Y8" s="440"/>
      <c r="AB8" s="448"/>
    </row>
    <row r="9" spans="1:29" s="455" customFormat="1" ht="18" customHeight="1" thickTop="1" thickBot="1">
      <c r="A9" s="450" t="s">
        <v>515</v>
      </c>
      <c r="B9" s="451" t="s">
        <v>630</v>
      </c>
      <c r="C9" s="452">
        <f t="shared" ref="C9:X9" si="1">IF((SUM(C10:C12)=0),"",SUM(C10:C12))</f>
        <v>121001000</v>
      </c>
      <c r="D9" s="452" t="str">
        <f t="shared" si="1"/>
        <v/>
      </c>
      <c r="E9" s="452">
        <f t="shared" si="1"/>
        <v>121001000</v>
      </c>
      <c r="F9" s="452">
        <f t="shared" si="1"/>
        <v>3305903000</v>
      </c>
      <c r="G9" s="452" t="str">
        <f t="shared" si="1"/>
        <v/>
      </c>
      <c r="H9" s="452">
        <f t="shared" si="1"/>
        <v>3305903000</v>
      </c>
      <c r="I9" s="452">
        <f t="shared" si="1"/>
        <v>6282000</v>
      </c>
      <c r="J9" s="452" t="str">
        <f t="shared" si="1"/>
        <v/>
      </c>
      <c r="K9" s="452">
        <f t="shared" si="1"/>
        <v>6282000</v>
      </c>
      <c r="L9" s="452">
        <f t="shared" si="1"/>
        <v>98200000</v>
      </c>
      <c r="M9" s="452" t="str">
        <f t="shared" si="1"/>
        <v/>
      </c>
      <c r="N9" s="452">
        <f t="shared" si="1"/>
        <v>98200000</v>
      </c>
      <c r="O9" s="452">
        <f t="shared" si="1"/>
        <v>6200000</v>
      </c>
      <c r="P9" s="452" t="str">
        <f t="shared" si="1"/>
        <v/>
      </c>
      <c r="Q9" s="452">
        <f t="shared" si="1"/>
        <v>6200000</v>
      </c>
      <c r="R9" s="452">
        <f t="shared" si="1"/>
        <v>922379000</v>
      </c>
      <c r="S9" s="452" t="str">
        <f t="shared" si="1"/>
        <v/>
      </c>
      <c r="T9" s="452">
        <f t="shared" si="1"/>
        <v>922379000</v>
      </c>
      <c r="U9" s="452">
        <f t="shared" si="1"/>
        <v>4842786000</v>
      </c>
      <c r="V9" s="1859" t="str">
        <f t="shared" si="1"/>
        <v/>
      </c>
      <c r="W9" s="452">
        <f t="shared" si="1"/>
        <v>4842786000</v>
      </c>
      <c r="X9" s="453" t="e">
        <f t="shared" si="1"/>
        <v>#VALUE!</v>
      </c>
      <c r="Y9" s="454"/>
      <c r="AB9" s="456"/>
    </row>
    <row r="10" spans="1:29" s="461" customFormat="1" ht="18" customHeight="1" thickTop="1">
      <c r="A10" s="457"/>
      <c r="B10" s="458" t="s">
        <v>516</v>
      </c>
      <c r="C10" s="459">
        <f t="shared" ref="C10:H10" si="2">IF((SUM(C13,C16,C21,C25:C31,C35:C36,C51,C55,C58,C60)=0),"",SUM(C13,C16,C21,C25:C31,C35:C36,C51,C55,C58,C60))</f>
        <v>121001000</v>
      </c>
      <c r="D10" s="459" t="str">
        <f t="shared" si="2"/>
        <v/>
      </c>
      <c r="E10" s="459">
        <f t="shared" si="2"/>
        <v>121001000</v>
      </c>
      <c r="F10" s="459">
        <f t="shared" si="2"/>
        <v>3305903000</v>
      </c>
      <c r="G10" s="459" t="str">
        <f t="shared" si="2"/>
        <v/>
      </c>
      <c r="H10" s="459">
        <f t="shared" si="2"/>
        <v>3305903000</v>
      </c>
      <c r="I10" s="459">
        <f>IF((SUM(I13,I16,I21,I25:I31,I34:I36,I51,I55,I58,I60)=0),"",SUM(I13,I16,I21,I25:I31,I34:I36,I51,I55,I58,I60))</f>
        <v>6282000</v>
      </c>
      <c r="J10" s="459" t="str">
        <f>IF((SUM(J13,J16,J21,J25:J31,J34:J36,J51,J55,J58,J60)=0),"",SUM(J13,J16,J21,J25:J31,J34:J36,J51,J55,J58,J60))</f>
        <v/>
      </c>
      <c r="K10" s="459">
        <f>IF((SUM(K13,K16,K21,K25:K31,K34:K36,K51,K55,K58,K60)=0),"",SUM(K13,K16,K21,K25:K31,K34:K36,K51,K55,K58,K60))</f>
        <v>6282000</v>
      </c>
      <c r="L10" s="459">
        <f t="shared" ref="L10:T10" si="3">IF((SUM(L13,L16,L21,L25:L31,L35:L36,L51,L55,L58,L60)=0),"",SUM(L13,L16,L21,L25:L31,L35:L36,L51,L55,L58,L60))</f>
        <v>98200000</v>
      </c>
      <c r="M10" s="459" t="str">
        <f t="shared" si="3"/>
        <v/>
      </c>
      <c r="N10" s="459">
        <f t="shared" si="3"/>
        <v>98200000</v>
      </c>
      <c r="O10" s="459">
        <f t="shared" si="3"/>
        <v>6200000</v>
      </c>
      <c r="P10" s="459" t="str">
        <f t="shared" si="3"/>
        <v/>
      </c>
      <c r="Q10" s="459">
        <f t="shared" si="3"/>
        <v>6200000</v>
      </c>
      <c r="R10" s="459">
        <f t="shared" si="3"/>
        <v>922379000</v>
      </c>
      <c r="S10" s="459" t="str">
        <f t="shared" si="3"/>
        <v/>
      </c>
      <c r="T10" s="459">
        <f t="shared" si="3"/>
        <v>922379000</v>
      </c>
      <c r="U10" s="459">
        <f>IF((SUM(U13,U16,U21,U25:U31,U34:U36,U51,U55,U58,U60)=0),"",SUM(U13,U16,U21,U25:U31,U34:U36,U51,U55,U58,U60))</f>
        <v>4842375000</v>
      </c>
      <c r="V10" s="1860" t="str">
        <f>IF((SUM(V13,V16,V21,V25:V31,V34:V36,V51,V55,V58,V60)=0),"",SUM(V13,V16,V21,V25:V31,V34:V36,V51,V55,V58,V60))</f>
        <v/>
      </c>
      <c r="W10" s="459">
        <f>IF((SUM(W13,W16,W21,W25:W31,W34:W36,W51,W55,W58,W60)=0),"",SUM(W13,W16,W21,W25:W31,W34:W36,W51,W55,W58,W60))</f>
        <v>4842375000</v>
      </c>
      <c r="X10" s="459" t="e">
        <f>IF((SUM(X13,X16,X21,X25:X31,X35:X36,X51,X55,X58,X60)=0),"",SUM(X13,X16,X21,X25:X31,X35:X36,X51,X55,X58,X60))</f>
        <v>#VALUE!</v>
      </c>
      <c r="Y10" s="460"/>
      <c r="AA10" s="462"/>
      <c r="AB10" s="462"/>
    </row>
    <row r="11" spans="1:29" s="461" customFormat="1" ht="18" customHeight="1">
      <c r="A11" s="463"/>
      <c r="B11" s="464" t="s">
        <v>517</v>
      </c>
      <c r="C11" s="465" t="str">
        <f t="shared" ref="C11:X11" si="4">IF((SUM(C23,C52,C56,C61)=0),"",SUM(C23,C52,C56,C61))</f>
        <v/>
      </c>
      <c r="D11" s="465" t="str">
        <f t="shared" si="4"/>
        <v/>
      </c>
      <c r="E11" s="465" t="str">
        <f t="shared" si="4"/>
        <v/>
      </c>
      <c r="F11" s="465" t="str">
        <f t="shared" si="4"/>
        <v/>
      </c>
      <c r="G11" s="465" t="str">
        <f t="shared" si="4"/>
        <v/>
      </c>
      <c r="H11" s="465" t="str">
        <f t="shared" si="4"/>
        <v/>
      </c>
      <c r="I11" s="465" t="str">
        <f t="shared" si="4"/>
        <v/>
      </c>
      <c r="J11" s="465" t="str">
        <f t="shared" si="4"/>
        <v/>
      </c>
      <c r="K11" s="465" t="str">
        <f t="shared" si="4"/>
        <v/>
      </c>
      <c r="L11" s="465" t="str">
        <f t="shared" si="4"/>
        <v/>
      </c>
      <c r="M11" s="465" t="str">
        <f t="shared" si="4"/>
        <v/>
      </c>
      <c r="N11" s="465" t="str">
        <f t="shared" si="4"/>
        <v/>
      </c>
      <c r="O11" s="465" t="str">
        <f t="shared" si="4"/>
        <v/>
      </c>
      <c r="P11" s="465" t="str">
        <f t="shared" si="4"/>
        <v/>
      </c>
      <c r="Q11" s="465" t="str">
        <f t="shared" si="4"/>
        <v/>
      </c>
      <c r="R11" s="465" t="str">
        <f t="shared" si="4"/>
        <v/>
      </c>
      <c r="S11" s="465" t="str">
        <f t="shared" si="4"/>
        <v/>
      </c>
      <c r="T11" s="465" t="str">
        <f t="shared" si="4"/>
        <v/>
      </c>
      <c r="U11" s="465">
        <f t="shared" si="4"/>
        <v>348000</v>
      </c>
      <c r="V11" s="1861" t="str">
        <f t="shared" si="4"/>
        <v/>
      </c>
      <c r="W11" s="465">
        <f t="shared" si="4"/>
        <v>348000</v>
      </c>
      <c r="X11" s="466" t="e">
        <f t="shared" si="4"/>
        <v>#VALUE!</v>
      </c>
      <c r="Y11" s="460"/>
      <c r="AB11" s="462"/>
    </row>
    <row r="12" spans="1:29" s="461" customFormat="1" ht="18" customHeight="1" thickBot="1">
      <c r="A12" s="467"/>
      <c r="B12" s="468" t="s">
        <v>518</v>
      </c>
      <c r="C12" s="469" t="str">
        <f t="shared" ref="C12:X12" si="5">IF((SUM(C24,C53,C57,C62)=0),"",SUM(C24,C53,C57,C62))</f>
        <v/>
      </c>
      <c r="D12" s="469" t="str">
        <f t="shared" si="5"/>
        <v/>
      </c>
      <c r="E12" s="469" t="str">
        <f t="shared" si="5"/>
        <v/>
      </c>
      <c r="F12" s="469" t="str">
        <f t="shared" si="5"/>
        <v/>
      </c>
      <c r="G12" s="469" t="str">
        <f t="shared" si="5"/>
        <v/>
      </c>
      <c r="H12" s="469" t="str">
        <f t="shared" si="5"/>
        <v/>
      </c>
      <c r="I12" s="469" t="str">
        <f t="shared" si="5"/>
        <v/>
      </c>
      <c r="J12" s="469" t="str">
        <f t="shared" si="5"/>
        <v/>
      </c>
      <c r="K12" s="469" t="str">
        <f t="shared" si="5"/>
        <v/>
      </c>
      <c r="L12" s="469" t="str">
        <f t="shared" si="5"/>
        <v/>
      </c>
      <c r="M12" s="469" t="str">
        <f t="shared" si="5"/>
        <v/>
      </c>
      <c r="N12" s="469" t="str">
        <f t="shared" si="5"/>
        <v/>
      </c>
      <c r="O12" s="469" t="str">
        <f t="shared" si="5"/>
        <v/>
      </c>
      <c r="P12" s="469" t="str">
        <f t="shared" si="5"/>
        <v/>
      </c>
      <c r="Q12" s="469" t="str">
        <f t="shared" si="5"/>
        <v/>
      </c>
      <c r="R12" s="469" t="str">
        <f t="shared" si="5"/>
        <v/>
      </c>
      <c r="S12" s="469" t="str">
        <f t="shared" si="5"/>
        <v/>
      </c>
      <c r="T12" s="469" t="str">
        <f t="shared" si="5"/>
        <v/>
      </c>
      <c r="U12" s="469">
        <f t="shared" si="5"/>
        <v>63000</v>
      </c>
      <c r="V12" s="1862" t="str">
        <f t="shared" si="5"/>
        <v/>
      </c>
      <c r="W12" s="469">
        <f t="shared" si="5"/>
        <v>63000</v>
      </c>
      <c r="X12" s="470" t="e">
        <f t="shared" si="5"/>
        <v>#VALUE!</v>
      </c>
      <c r="Y12" s="460"/>
      <c r="AB12" s="462"/>
    </row>
    <row r="13" spans="1:29" s="455" customFormat="1" ht="18" customHeight="1" thickBot="1">
      <c r="A13" s="471" t="s">
        <v>519</v>
      </c>
      <c r="B13" s="472" t="s">
        <v>520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>
        <f t="shared" ref="R13:W13" si="6">IF((SUM(R14:R15)=0),"",SUM(R14:R15))</f>
        <v>150000000</v>
      </c>
      <c r="S13" s="473" t="str">
        <f t="shared" si="6"/>
        <v/>
      </c>
      <c r="T13" s="473">
        <f t="shared" si="6"/>
        <v>150000000</v>
      </c>
      <c r="U13" s="473">
        <f t="shared" si="6"/>
        <v>150000000</v>
      </c>
      <c r="V13" s="1863" t="str">
        <f t="shared" si="6"/>
        <v/>
      </c>
      <c r="W13" s="473">
        <f t="shared" si="6"/>
        <v>150000000</v>
      </c>
      <c r="X13" s="474" t="e">
        <f>IF((SUM(X14:X15)=0),"",(SUM(X14:X15)))</f>
        <v>#VALUE!</v>
      </c>
      <c r="Y13" s="454" t="str">
        <f>IF((SUM(Y14:Y15)=0),"",(SUM(Y14:Y15)))</f>
        <v/>
      </c>
      <c r="Z13" s="475" t="str">
        <f>IF((SUM(Z14:Z15)=0),"",(SUM(Z14:Z15)))</f>
        <v/>
      </c>
      <c r="AA13" s="456" t="str">
        <f>IF((SUM(AA14:AA15)=0),"",(SUM(AA14:AA15)))</f>
        <v/>
      </c>
      <c r="AB13" s="456"/>
      <c r="AC13" s="456"/>
    </row>
    <row r="14" spans="1:29" s="481" customFormat="1" ht="18" customHeight="1">
      <c r="A14" s="476"/>
      <c r="B14" s="477" t="s">
        <v>521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>
        <f>IF(('Pl 2016-20 PFC'!G318=0),"",'Pl 2016-20 PFC'!G318)</f>
        <v>146341000</v>
      </c>
      <c r="S14" s="478" t="str">
        <f>IF(('Pl 2016-20 PFC'!H318=0),"",'Pl 2016-20 PFC'!H318)</f>
        <v/>
      </c>
      <c r="T14" s="478">
        <f>IF(('Pl 2016-20 PFC'!I318=0),"",'Pl 2016-20 PFC'!I318)</f>
        <v>146341000</v>
      </c>
      <c r="U14" s="478">
        <f t="shared" ref="U14:W15" si="7">IF((SUM(C14,F14,I14,L14,O14,R14)=0),"",(SUM(C14,F14,I14,L14,O14,R14)))</f>
        <v>146341000</v>
      </c>
      <c r="V14" s="1864" t="str">
        <f>IF((SUM(D14,G14,J14,M14,P14,S14)=0),"0",(SUM(D14,G14,J14,M14,P14,S14)))</f>
        <v>0</v>
      </c>
      <c r="W14" s="478">
        <f t="shared" si="7"/>
        <v>146341000</v>
      </c>
      <c r="X14" s="479" t="e">
        <f>"$#ODWOŁANIE$#ODWOŁANIE"/"$#ODWOŁANIE$#ODWOŁANIE"%</f>
        <v>#VALUE!</v>
      </c>
      <c r="Y14" s="454"/>
      <c r="Z14" s="480"/>
      <c r="AA14" s="454"/>
      <c r="AB14" s="454"/>
      <c r="AC14" s="454"/>
    </row>
    <row r="15" spans="1:29" s="481" customFormat="1" ht="18" customHeight="1" thickBot="1">
      <c r="A15" s="482"/>
      <c r="B15" s="483" t="s">
        <v>522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>
        <f>IF(('Pl 2016-20 PFC'!G320=0),"",'Pl 2016-20 PFC'!G320)</f>
        <v>3659000</v>
      </c>
      <c r="S15" s="484" t="str">
        <f>IF(('Pl 2016-20 PFC'!H320=0),"",'Pl 2016-20 PFC'!H320)</f>
        <v/>
      </c>
      <c r="T15" s="484">
        <f>IF(('Pl 2016-20 PFC'!I320=0),"",'Pl 2016-20 PFC'!I320)</f>
        <v>3659000</v>
      </c>
      <c r="U15" s="484">
        <f t="shared" si="7"/>
        <v>3659000</v>
      </c>
      <c r="V15" s="1865" t="str">
        <f>IF((SUM(D15,G15,J15,M15,P15,S15)=0),"0",(SUM(D15,G15,J15,M15,P15,S15)))</f>
        <v>0</v>
      </c>
      <c r="W15" s="484">
        <f t="shared" si="7"/>
        <v>3659000</v>
      </c>
      <c r="X15" s="479" t="e">
        <f>"$#ODWOŁANIE$#ODWOŁANIE"/"$#ODWOŁANIE$#ODWOŁANIE"%</f>
        <v>#VALUE!</v>
      </c>
      <c r="Y15" s="454"/>
      <c r="Z15" s="480"/>
      <c r="AA15" s="454"/>
      <c r="AB15" s="454"/>
      <c r="AC15" s="454"/>
    </row>
    <row r="16" spans="1:29" s="455" customFormat="1" ht="18" customHeight="1" thickBot="1">
      <c r="A16" s="485" t="s">
        <v>523</v>
      </c>
      <c r="B16" s="486" t="s">
        <v>524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>
        <f t="shared" ref="R16:W16" si="8">IF((SUM(R17:R18)=0),"",SUM(R17:R18))</f>
        <v>772379000</v>
      </c>
      <c r="S16" s="487" t="str">
        <f t="shared" si="8"/>
        <v/>
      </c>
      <c r="T16" s="487">
        <f t="shared" si="8"/>
        <v>772379000</v>
      </c>
      <c r="U16" s="487">
        <f t="shared" si="8"/>
        <v>772379000</v>
      </c>
      <c r="V16" s="1866" t="str">
        <f t="shared" si="8"/>
        <v/>
      </c>
      <c r="W16" s="487">
        <f t="shared" si="8"/>
        <v>772379000</v>
      </c>
      <c r="X16" s="488" t="e">
        <f>IF((SUM(X17:X18)=0),"",(SUM(X17:X18)))</f>
        <v>#VALUE!</v>
      </c>
      <c r="Y16" s="454"/>
      <c r="Z16" s="475"/>
      <c r="AA16" s="475"/>
      <c r="AB16" s="456"/>
      <c r="AC16" s="456"/>
    </row>
    <row r="17" spans="1:29" s="481" customFormat="1" ht="18" customHeight="1">
      <c r="A17" s="476"/>
      <c r="B17" s="477" t="s">
        <v>521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>
        <f>IF(('Pl 2016-20 PFC'!G322=0),"",'Pl 2016-20 PFC'!G322)</f>
        <v>753540000</v>
      </c>
      <c r="S17" s="478" t="str">
        <f>IF(('Pl 2016-20 PFC'!H322=0),"",'Pl 2016-20 PFC'!H322)</f>
        <v/>
      </c>
      <c r="T17" s="478">
        <f>IF(('Pl 2016-20 PFC'!I322=0),"",'Pl 2016-20 PFC'!I322)</f>
        <v>753540000</v>
      </c>
      <c r="U17" s="478">
        <f t="shared" ref="U17:W18" si="9">IF((SUM(C17,F17,I17,L17,O17,R17)=0),"",(SUM(C17,F17,I17,L17,O17,R17)))</f>
        <v>753540000</v>
      </c>
      <c r="V17" s="1864" t="str">
        <f>IF((SUM(D17,G17,J17,M17,P17,S17)=0),"0",(SUM(D17,G17,J17,M17,P17,S17)))</f>
        <v>0</v>
      </c>
      <c r="W17" s="478">
        <f t="shared" si="9"/>
        <v>753540000</v>
      </c>
      <c r="X17" s="479" t="e">
        <f>"$#ODWOŁANIE$#ODWOŁANIE"/"$#ODWOŁANIE$#ODWOŁANIE"%</f>
        <v>#VALUE!</v>
      </c>
      <c r="Y17" s="454"/>
      <c r="Z17" s="480"/>
      <c r="AA17" s="480"/>
      <c r="AB17" s="454"/>
      <c r="AC17" s="454"/>
    </row>
    <row r="18" spans="1:29" s="481" customFormat="1" ht="18" customHeight="1" thickBot="1">
      <c r="A18" s="482"/>
      <c r="B18" s="483" t="s">
        <v>522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>
        <f>IF(('Pl 2016-20 PFC'!G324=0),"",'Pl 2016-20 PFC'!G324)</f>
        <v>18839000</v>
      </c>
      <c r="S18" s="484" t="str">
        <f>IF(('Pl 2016-20 PFC'!H324=0),"",'Pl 2016-20 PFC'!H324)</f>
        <v/>
      </c>
      <c r="T18" s="484">
        <f>IF(('Pl 2016-20 PFC'!I324=0),"",'Pl 2016-20 PFC'!I324)</f>
        <v>18839000</v>
      </c>
      <c r="U18" s="484">
        <f t="shared" si="9"/>
        <v>18839000</v>
      </c>
      <c r="V18" s="1865" t="str">
        <f>IF((SUM(D18,G18,J18,M18,P18,S18)=0),"0",(SUM(D18,G18,J18,M18,P18,S18)))</f>
        <v>0</v>
      </c>
      <c r="W18" s="484">
        <f t="shared" si="9"/>
        <v>18839000</v>
      </c>
      <c r="X18" s="479" t="e">
        <f>"$#ODWOŁANIE$#ODWOŁANIE"/"$#ODWOŁANIE$#ODWOŁANIE"%</f>
        <v>#VALUE!</v>
      </c>
      <c r="Y18" s="454"/>
      <c r="Z18" s="480"/>
      <c r="AA18" s="480"/>
      <c r="AB18" s="454"/>
      <c r="AC18" s="454"/>
    </row>
    <row r="19" spans="1:29" s="455" customFormat="1" ht="18" customHeight="1" thickBot="1">
      <c r="A19" s="485" t="s">
        <v>525</v>
      </c>
      <c r="B19" s="486" t="s">
        <v>526</v>
      </c>
      <c r="C19" s="487">
        <f t="shared" ref="C19:W19" si="10">IF((SUM(C20,C36)=0),"",SUM(C20,C36))</f>
        <v>121001000</v>
      </c>
      <c r="D19" s="487" t="str">
        <f t="shared" si="10"/>
        <v/>
      </c>
      <c r="E19" s="487">
        <f t="shared" si="10"/>
        <v>121001000</v>
      </c>
      <c r="F19" s="487">
        <f t="shared" si="10"/>
        <v>3305903000</v>
      </c>
      <c r="G19" s="487" t="str">
        <f t="shared" si="10"/>
        <v/>
      </c>
      <c r="H19" s="487">
        <f t="shared" si="10"/>
        <v>3305903000</v>
      </c>
      <c r="I19" s="487">
        <f t="shared" si="10"/>
        <v>2500000</v>
      </c>
      <c r="J19" s="487" t="str">
        <f t="shared" si="10"/>
        <v/>
      </c>
      <c r="K19" s="487">
        <f t="shared" si="10"/>
        <v>2500000</v>
      </c>
      <c r="L19" s="487">
        <f t="shared" si="10"/>
        <v>98200000</v>
      </c>
      <c r="M19" s="487" t="str">
        <f t="shared" si="10"/>
        <v/>
      </c>
      <c r="N19" s="487">
        <f t="shared" si="10"/>
        <v>98200000</v>
      </c>
      <c r="O19" s="487">
        <f t="shared" si="10"/>
        <v>6200000</v>
      </c>
      <c r="P19" s="487" t="str">
        <f t="shared" si="10"/>
        <v/>
      </c>
      <c r="Q19" s="487">
        <f t="shared" si="10"/>
        <v>6200000</v>
      </c>
      <c r="R19" s="487" t="str">
        <f t="shared" si="10"/>
        <v/>
      </c>
      <c r="S19" s="487" t="str">
        <f t="shared" si="10"/>
        <v/>
      </c>
      <c r="T19" s="487" t="str">
        <f t="shared" si="10"/>
        <v/>
      </c>
      <c r="U19" s="487">
        <f t="shared" si="10"/>
        <v>3533804000</v>
      </c>
      <c r="V19" s="1866" t="str">
        <f t="shared" si="10"/>
        <v/>
      </c>
      <c r="W19" s="487">
        <f t="shared" si="10"/>
        <v>3533804000</v>
      </c>
      <c r="X19" s="474" t="e">
        <f>IF((SUM(X20,X36,"$#ODWOŁANIE$#ODWOŁANIE")=0),"",SUM(X20,X36,"$#ODWOŁANIE$#ODWOŁANIE"))</f>
        <v>#VALUE!</v>
      </c>
      <c r="Y19" s="454"/>
      <c r="Z19" s="475"/>
      <c r="AA19" s="475"/>
      <c r="AB19" s="475"/>
      <c r="AC19" s="475"/>
    </row>
    <row r="20" spans="1:29" s="493" customFormat="1" ht="18" customHeight="1" thickBot="1">
      <c r="A20" s="489" t="s">
        <v>527</v>
      </c>
      <c r="B20" s="490" t="s">
        <v>528</v>
      </c>
      <c r="C20" s="487">
        <f t="shared" ref="C20:H20" si="11">IF((SUM(C21,C22,C25:C31,C35:C35)=0),"",SUM(C21,C22,C25:C31,C35:C35))</f>
        <v>61120000</v>
      </c>
      <c r="D20" s="487" t="str">
        <f t="shared" si="11"/>
        <v/>
      </c>
      <c r="E20" s="487">
        <f t="shared" si="11"/>
        <v>61120000</v>
      </c>
      <c r="F20" s="487">
        <f t="shared" si="11"/>
        <v>3302303000</v>
      </c>
      <c r="G20" s="487" t="str">
        <f t="shared" si="11"/>
        <v/>
      </c>
      <c r="H20" s="487">
        <f t="shared" si="11"/>
        <v>3302303000</v>
      </c>
      <c r="I20" s="487">
        <f>IF((SUM(I21,I22,I25:I31,I34,I35:I35)=0),"",SUM(I21,I22,I34,I25:I31,I35:I35))</f>
        <v>2500000</v>
      </c>
      <c r="J20" s="487" t="str">
        <f>IF((SUM(J21,J22,J25:J31,J34,J35:J35)=0),"",SUM(J21,J22,J34,J25:J31,J35:J35))</f>
        <v/>
      </c>
      <c r="K20" s="487">
        <f>IF((SUM(K21,K22,K25:K31,K34,K35:K35)=0),"",SUM(K21,K22,K34,K25:K31,K35:K35))</f>
        <v>2500000</v>
      </c>
      <c r="L20" s="487">
        <f t="shared" ref="L20:T20" si="12">IF((SUM(L21,L22,L25:L31,L35:L35)=0),"",SUM(L21,L22,L25:L31,L35:L35))</f>
        <v>45200000</v>
      </c>
      <c r="M20" s="487" t="str">
        <f t="shared" si="12"/>
        <v/>
      </c>
      <c r="N20" s="487">
        <f t="shared" si="12"/>
        <v>45200000</v>
      </c>
      <c r="O20" s="487">
        <f t="shared" si="12"/>
        <v>6200000</v>
      </c>
      <c r="P20" s="487" t="str">
        <f t="shared" si="12"/>
        <v/>
      </c>
      <c r="Q20" s="487">
        <f t="shared" si="12"/>
        <v>6200000</v>
      </c>
      <c r="R20" s="487" t="str">
        <f t="shared" si="12"/>
        <v/>
      </c>
      <c r="S20" s="487" t="str">
        <f t="shared" si="12"/>
        <v/>
      </c>
      <c r="T20" s="487" t="str">
        <f t="shared" si="12"/>
        <v/>
      </c>
      <c r="U20" s="487">
        <f>IF((SUM(U21,U22,U25:U31,U34:U35)=0),"",SUM(U21,U22,U25:U31,U34:U35))</f>
        <v>3417323000</v>
      </c>
      <c r="V20" s="1866" t="str">
        <f>IF((SUM(V21,V22,V25:V31,V34:V35)=0),"",SUM(V21,V22,V25:V31,V34:V35))</f>
        <v/>
      </c>
      <c r="W20" s="487">
        <f>IF((SUM(W21,W22,W25:W31,W34:W35)=0),"",SUM(W21,W22,W25:W31,W34:W35))</f>
        <v>3417323000</v>
      </c>
      <c r="X20" s="474" t="e">
        <f>IF((SUM(X21,X22,"$#ODWOŁANIE$#ODWOŁANIE",X25:X31,X35:X35)=0),"",SUM(X21,X22,"$#ODWOŁANIE$#ODWOŁANIE",X25:X31,X35:X35))</f>
        <v>#VALUE!</v>
      </c>
      <c r="Y20" s="491" t="e">
        <f>IF((SUM(Y21,Y22,"$#ODWOŁANIE$#ODWOŁANIE",Y25:Y31,Y35:Y35)=0),"",SUM(Y21,Y22,"$#ODWOŁANIE$#ODWOŁANIE",Y25:Y31,Y35:Y35))</f>
        <v>#VALUE!</v>
      </c>
      <c r="Z20" s="492" t="e">
        <f>IF((SUM(Z21,Z22,"$#ODWOŁANIE$#ODWOŁANIE",Z25:Z31,Z35:Z35)=0),"",SUM(Z21,Z22,"$#ODWOŁANIE$#ODWOŁANIE",Z25:Z31,Z35:Z35))</f>
        <v>#VALUE!</v>
      </c>
      <c r="AA20" s="492" t="e">
        <f>IF((SUM(AA21,AA22,"$#ODWOŁANIE$#ODWOŁANIE",AA25:AA31,AA35:AA35)=0),"",SUM(AA21,AA22,"$#ODWOŁANIE$#ODWOŁANIE",AA25:AA31,AA35:AA35))</f>
        <v>#VALUE!</v>
      </c>
      <c r="AB20" s="492"/>
      <c r="AC20" s="492"/>
    </row>
    <row r="21" spans="1:29" s="1619" customFormat="1" ht="15.75" customHeight="1">
      <c r="A21" s="1614" t="s">
        <v>529</v>
      </c>
      <c r="B21" s="1615" t="s">
        <v>530</v>
      </c>
      <c r="C21" s="1616">
        <f>IF(('Pl 2016-20 PFC'!G125=0),"",'Pl 2016-20 PFC'!G125)</f>
        <v>2500000</v>
      </c>
      <c r="D21" s="1616" t="str">
        <f>IF(('Pl 2016-20 PFC'!H125=0),"",'Pl 2016-20 PFC'!H125)</f>
        <v/>
      </c>
      <c r="E21" s="1616">
        <f>IF(('Pl 2016-20 PFC'!I125=0),"",'Pl 2016-20 PFC'!I125)</f>
        <v>2500000</v>
      </c>
      <c r="F21" s="1616">
        <f>IF(('Pl 2016-20 PFC'!G160=0),"",'Pl 2016-20 PFC'!G160)</f>
        <v>1400000</v>
      </c>
      <c r="G21" s="1616" t="str">
        <f>IF(('Pl 2016-20 PFC'!H160=0),"",'Pl 2016-20 PFC'!H160)</f>
        <v/>
      </c>
      <c r="H21" s="1616">
        <f>IF(('Pl 2016-20 PFC'!I160=0),"",'Pl 2016-20 PFC'!I160)</f>
        <v>1400000</v>
      </c>
      <c r="I21" s="1616"/>
      <c r="J21" s="1616"/>
      <c r="K21" s="1616"/>
      <c r="L21" s="1616">
        <f>IF(('Pl 2016-20 PFC'!G283=0),"",'Pl 2016-20 PFC'!G283)</f>
        <v>44200000</v>
      </c>
      <c r="M21" s="1616" t="str">
        <f>IF(('Pl 2016-20 PFC'!H283=0),"",'Pl 2016-20 PFC'!H283)</f>
        <v/>
      </c>
      <c r="N21" s="1616">
        <f>IF(('Pl 2016-20 PFC'!I283=0),"",'Pl 2016-20 PFC'!I283)</f>
        <v>44200000</v>
      </c>
      <c r="O21" s="1616">
        <f>IF(('Pl 2016-20 PFC'!G300=0),"",'Pl 2016-20 PFC'!G300)</f>
        <v>1400000</v>
      </c>
      <c r="P21" s="1616" t="str">
        <f>IF(('Pl 2016-20 PFC'!H300=0),"",'Pl 2016-20 PFC'!H300)</f>
        <v/>
      </c>
      <c r="Q21" s="1616">
        <f>IF(('Pl 2016-20 PFC'!I300=0),"",'Pl 2016-20 PFC'!I300)</f>
        <v>1400000</v>
      </c>
      <c r="R21" s="1616"/>
      <c r="S21" s="1616"/>
      <c r="T21" s="1616"/>
      <c r="U21" s="1616">
        <f t="shared" ref="U21:U42" si="13">IF((SUM(C21,F21,I21,L21,O21,R21)=0),"",(SUM(C21,F21,I21,L21,O21,R21)))</f>
        <v>49500000</v>
      </c>
      <c r="V21" s="1640" t="str">
        <f>IF((SUM(D21,G21,J21,M21,P21,S21)=0),"0",(SUM(D21,G21,J21,M21,P21,S21)))</f>
        <v>0</v>
      </c>
      <c r="W21" s="1616">
        <f t="shared" ref="W21:W42" si="14">IF((SUM(E21,H21,K21,N21,Q21,T21)=0),"",(SUM(E21,H21,K21,N21,Q21,T21)))</f>
        <v>49500000</v>
      </c>
      <c r="X21" s="1617" t="e">
        <f>"$#ODWOŁANIE$#ODWOŁANIE"/"$#ODWOŁANIE$#ODWOŁANIE"%</f>
        <v>#VALUE!</v>
      </c>
      <c r="Y21" s="1618"/>
      <c r="AB21" s="1620"/>
    </row>
    <row r="22" spans="1:29" s="1623" customFormat="1" ht="15.75" customHeight="1">
      <c r="A22" s="1614" t="s">
        <v>531</v>
      </c>
      <c r="B22" s="1615" t="s">
        <v>532</v>
      </c>
      <c r="C22" s="1616" t="str">
        <f t="shared" ref="C22:H22" si="15">IF((SUM(C23:C24)=0),"",SUM(C23:C24))</f>
        <v/>
      </c>
      <c r="D22" s="1616" t="str">
        <f t="shared" si="15"/>
        <v/>
      </c>
      <c r="E22" s="1616" t="str">
        <f t="shared" si="15"/>
        <v/>
      </c>
      <c r="F22" s="1616" t="str">
        <f t="shared" si="15"/>
        <v/>
      </c>
      <c r="G22" s="1616" t="str">
        <f t="shared" si="15"/>
        <v/>
      </c>
      <c r="H22" s="1616" t="str">
        <f t="shared" si="15"/>
        <v/>
      </c>
      <c r="I22" s="1616"/>
      <c r="J22" s="1616"/>
      <c r="K22" s="1616"/>
      <c r="L22" s="1616"/>
      <c r="M22" s="1616"/>
      <c r="N22" s="1616"/>
      <c r="O22" s="1616"/>
      <c r="P22" s="1616"/>
      <c r="Q22" s="1616"/>
      <c r="R22" s="1616" t="str">
        <f>IF((SUM(R23:R24)=0),"",SUM(R23:R24))</f>
        <v/>
      </c>
      <c r="S22" s="1616" t="str">
        <f>IF((SUM(S23:S24)=0),"",SUM(S23:S24))</f>
        <v/>
      </c>
      <c r="T22" s="1616" t="str">
        <f>IF((SUM(T23:T24)=0),"",SUM(T23:T24))</f>
        <v/>
      </c>
      <c r="U22" s="1616" t="str">
        <f t="shared" si="13"/>
        <v/>
      </c>
      <c r="V22" s="1640" t="str">
        <f>IF((SUM(D22,G22,J22,M22,P22,S22)=0),"0",(SUM(D22,G22,J22,M22,P22,S22)))</f>
        <v>0</v>
      </c>
      <c r="W22" s="1616" t="str">
        <f t="shared" si="14"/>
        <v/>
      </c>
      <c r="X22" s="1621" t="e">
        <f>SUM(X23:X24)</f>
        <v>#VALUE!</v>
      </c>
      <c r="Y22" s="1622"/>
      <c r="AB22" s="1624"/>
    </row>
    <row r="23" spans="1:29" s="1623" customFormat="1" ht="15.75" customHeight="1">
      <c r="A23" s="1614"/>
      <c r="B23" s="1625" t="s">
        <v>517</v>
      </c>
      <c r="C23" s="1626" t="str">
        <f>IF(('Pl 2016-20 PFC'!G203=0),"",'Pl 2016-20 PFC'!G203)</f>
        <v/>
      </c>
      <c r="D23" s="1626" t="str">
        <f>IF(('Pl 2016-20 PFC'!H203=0),"",'Pl 2016-20 PFC'!H203)</f>
        <v/>
      </c>
      <c r="E23" s="1626" t="str">
        <f>IF(('Pl 2016-20 PFC'!I203=0),"",'Pl 2016-20 PFC'!I203)</f>
        <v/>
      </c>
      <c r="F23" s="1626" t="str">
        <f>IF(('Pl 2016-20 PFC'!G204=0),"",'Pl 2016-20 PFC'!G204)</f>
        <v/>
      </c>
      <c r="G23" s="1626" t="str">
        <f>IF(('Pl 2016-20 PFC'!H204=0),"",'Pl 2016-20 PFC'!H204)</f>
        <v/>
      </c>
      <c r="H23" s="1626" t="str">
        <f>IF(('Pl 2016-20 PFC'!I204=0),"",'Pl 2016-20 PFC'!I204)</f>
        <v/>
      </c>
      <c r="I23" s="1626"/>
      <c r="J23" s="1626"/>
      <c r="K23" s="1626"/>
      <c r="L23" s="1626"/>
      <c r="M23" s="1626"/>
      <c r="N23" s="1626"/>
      <c r="O23" s="1626"/>
      <c r="P23" s="1626"/>
      <c r="Q23" s="1626"/>
      <c r="R23" s="1626"/>
      <c r="S23" s="1626"/>
      <c r="T23" s="1626"/>
      <c r="U23" s="1626" t="str">
        <f t="shared" si="13"/>
        <v/>
      </c>
      <c r="V23" s="1867" t="str">
        <f t="shared" ref="V23:V42" si="16">IF((SUM(D23,G23,J23,M23,P23,S23)=0),"",(SUM(D23,G23,J23,M23,P23,S23)))</f>
        <v/>
      </c>
      <c r="W23" s="1626" t="str">
        <f t="shared" si="14"/>
        <v/>
      </c>
      <c r="X23" s="1617" t="e">
        <f t="shared" ref="X23:X35" si="17">"$#ODWOŁANIE$#ODWOŁANIE"/"$#ODWOŁANIE$#ODWOŁANIE"%</f>
        <v>#VALUE!</v>
      </c>
      <c r="Y23" s="1622"/>
      <c r="AB23" s="1624"/>
    </row>
    <row r="24" spans="1:29" s="1623" customFormat="1">
      <c r="A24" s="1614"/>
      <c r="B24" s="1625" t="s">
        <v>518</v>
      </c>
      <c r="C24" s="1626" t="str">
        <f>IF(('Pl 2016-20 PFC'!G124=0),"",'Pl 2016-20 PFC'!G124)</f>
        <v/>
      </c>
      <c r="D24" s="1626" t="str">
        <f>IF(('Pl 2016-20 PFC'!H124=0),"",'Pl 2016-20 PFC'!H124)</f>
        <v/>
      </c>
      <c r="E24" s="1626" t="str">
        <f>IF(('Pl 2016-20 PFC'!I124=0),"",'Pl 2016-20 PFC'!I124)</f>
        <v/>
      </c>
      <c r="F24" s="1626" t="str">
        <f>IF(('Pl 2016-20 PFC'!G159=0),"",'Pl 2016-20 PFC'!G159)</f>
        <v/>
      </c>
      <c r="G24" s="1626" t="str">
        <f>IF(('Pl 2016-20 PFC'!H159=0),"",'Pl 2016-20 PFC'!H159)</f>
        <v/>
      </c>
      <c r="H24" s="1626" t="str">
        <f>IF(('Pl 2016-20 PFC'!I159=0),"",'Pl 2016-20 PFC'!I159)</f>
        <v/>
      </c>
      <c r="I24" s="1626"/>
      <c r="J24" s="1626"/>
      <c r="K24" s="1626"/>
      <c r="L24" s="1626"/>
      <c r="M24" s="1626"/>
      <c r="N24" s="1626"/>
      <c r="O24" s="1626"/>
      <c r="P24" s="1626"/>
      <c r="Q24" s="1626"/>
      <c r="R24" s="1626"/>
      <c r="S24" s="1626"/>
      <c r="T24" s="1626"/>
      <c r="U24" s="1626" t="str">
        <f t="shared" si="13"/>
        <v/>
      </c>
      <c r="V24" s="1867" t="str">
        <f t="shared" si="16"/>
        <v/>
      </c>
      <c r="W24" s="1626" t="str">
        <f t="shared" si="14"/>
        <v/>
      </c>
      <c r="X24" s="1617" t="e">
        <f t="shared" si="17"/>
        <v>#VALUE!</v>
      </c>
      <c r="Y24" s="1622"/>
      <c r="AB24" s="1624"/>
    </row>
    <row r="25" spans="1:29" s="1619" customFormat="1">
      <c r="A25" s="1614" t="s">
        <v>533</v>
      </c>
      <c r="B25" s="1615" t="s">
        <v>534</v>
      </c>
      <c r="C25" s="1616">
        <f>IF(('Pl 2016-20 PFC'!G126=0),"",'Pl 2016-20 PFC'!G126)</f>
        <v>57000000</v>
      </c>
      <c r="D25" s="1616" t="str">
        <f>IF(('Pl 2016-20 PFC'!H126=0),"",'Pl 2016-20 PFC'!H126)</f>
        <v/>
      </c>
      <c r="E25" s="1616">
        <f>IF(('Pl 2016-20 PFC'!I126=0),"",'Pl 2016-20 PFC'!I126)</f>
        <v>57000000</v>
      </c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>
        <f t="shared" si="13"/>
        <v>57000000</v>
      </c>
      <c r="V25" s="1640" t="str">
        <f t="shared" ref="V25:V31" si="18">IF((SUM(D25,G25,J25,M25,P25,S25)=0),"0",(SUM(D25,G25,J25,M25,P25,S25)))</f>
        <v>0</v>
      </c>
      <c r="W25" s="1616">
        <f t="shared" si="14"/>
        <v>57000000</v>
      </c>
      <c r="X25" s="1617" t="e">
        <f t="shared" si="17"/>
        <v>#VALUE!</v>
      </c>
      <c r="Y25" s="1618"/>
      <c r="AB25" s="1620"/>
    </row>
    <row r="26" spans="1:29" s="1619" customFormat="1" ht="31.2">
      <c r="A26" s="1614" t="s">
        <v>535</v>
      </c>
      <c r="B26" s="1627" t="s">
        <v>536</v>
      </c>
      <c r="C26" s="1616"/>
      <c r="D26" s="1616"/>
      <c r="E26" s="1616"/>
      <c r="F26" s="1616">
        <f>IF(('Pl 2016-20 PFC'!G164=0),"",'Pl 2016-20 PFC'!G164)</f>
        <v>3000</v>
      </c>
      <c r="G26" s="1616" t="str">
        <f>IF(('Pl 2016-20 PFC'!H164=0),"",'Pl 2016-20 PFC'!H164)</f>
        <v/>
      </c>
      <c r="H26" s="1616">
        <f>IF(('Pl 2016-20 PFC'!I164=0),"",'Pl 2016-20 PFC'!I164)</f>
        <v>3000</v>
      </c>
      <c r="I26" s="1616"/>
      <c r="J26" s="1616"/>
      <c r="K26" s="1616"/>
      <c r="L26" s="1616"/>
      <c r="M26" s="1616"/>
      <c r="N26" s="1616"/>
      <c r="O26" s="1616"/>
      <c r="P26" s="1616"/>
      <c r="Q26" s="1616"/>
      <c r="R26" s="1616"/>
      <c r="S26" s="1616"/>
      <c r="T26" s="1616"/>
      <c r="U26" s="1616">
        <f t="shared" si="13"/>
        <v>3000</v>
      </c>
      <c r="V26" s="1640" t="str">
        <f t="shared" si="18"/>
        <v>0</v>
      </c>
      <c r="W26" s="1616">
        <f t="shared" si="14"/>
        <v>3000</v>
      </c>
      <c r="X26" s="1617" t="e">
        <f t="shared" si="17"/>
        <v>#VALUE!</v>
      </c>
      <c r="Y26" s="1618"/>
      <c r="AB26" s="1620"/>
    </row>
    <row r="27" spans="1:29" s="1628" customFormat="1">
      <c r="A27" s="1614" t="s">
        <v>537</v>
      </c>
      <c r="B27" s="1615" t="s">
        <v>43</v>
      </c>
      <c r="C27" s="1616"/>
      <c r="D27" s="1616"/>
      <c r="E27" s="1616"/>
      <c r="F27" s="1616">
        <f>IF(('Pl 2016-20 PFC'!G155=0),"",'Pl 2016-20 PFC'!G155)</f>
        <v>97600000</v>
      </c>
      <c r="G27" s="1616" t="str">
        <f>IF(('Pl 2016-20 PFC'!H155=0),"",'Pl 2016-20 PFC'!H155)</f>
        <v/>
      </c>
      <c r="H27" s="1616">
        <f>IF(('Pl 2016-20 PFC'!I155=0),"",'Pl 2016-20 PFC'!I155)</f>
        <v>97600000</v>
      </c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>
        <f t="shared" si="13"/>
        <v>97600000</v>
      </c>
      <c r="V27" s="1640" t="str">
        <f t="shared" si="18"/>
        <v>0</v>
      </c>
      <c r="W27" s="1616">
        <f t="shared" si="14"/>
        <v>97600000</v>
      </c>
      <c r="X27" s="1617" t="e">
        <f t="shared" si="17"/>
        <v>#VALUE!</v>
      </c>
      <c r="Y27" s="1618"/>
      <c r="AB27" s="1629"/>
    </row>
    <row r="28" spans="1:29" s="1628" customFormat="1">
      <c r="A28" s="1614" t="s">
        <v>538</v>
      </c>
      <c r="B28" s="1615" t="s">
        <v>539</v>
      </c>
      <c r="C28" s="1616">
        <f>IF(('Pl 2016-20 PFC'!G128=0),"",'Pl 2016-20 PFC'!G128)</f>
        <v>400000</v>
      </c>
      <c r="D28" s="1616" t="str">
        <f>IF(('Pl 2016-20 PFC'!H128=0),"",'Pl 2016-20 PFC'!H128)</f>
        <v/>
      </c>
      <c r="E28" s="1616">
        <f>IF(('Pl 2016-20 PFC'!I128=0),"",'Pl 2016-20 PFC'!I128)</f>
        <v>400000</v>
      </c>
      <c r="F28" s="1616">
        <f>IF(('Pl 2016-20 PFC'!G166=0),"",'Pl 2016-20 PFC'!G166)</f>
        <v>207300000</v>
      </c>
      <c r="G28" s="1616" t="str">
        <f>IF(('Pl 2016-20 PFC'!H166=0),"",'Pl 2016-20 PFC'!H166)</f>
        <v/>
      </c>
      <c r="H28" s="1616">
        <f>IF(('Pl 2016-20 PFC'!I166=0),"",'Pl 2016-20 PFC'!I166)</f>
        <v>207300000</v>
      </c>
      <c r="I28" s="1616"/>
      <c r="J28" s="1616"/>
      <c r="K28" s="1616"/>
      <c r="L28" s="1616">
        <f>IF(('Pl 2016-20 PFC'!G284=0),"",'Pl 2016-20 PFC'!G284)</f>
        <v>1000000</v>
      </c>
      <c r="M28" s="1616" t="str">
        <f>IF(('Pl 2016-20 PFC'!H284=0),"",'Pl 2016-20 PFC'!H284)</f>
        <v/>
      </c>
      <c r="N28" s="1616">
        <f>IF(('Pl 2016-20 PFC'!I284=0),"",'Pl 2016-20 PFC'!I284)</f>
        <v>1000000</v>
      </c>
      <c r="O28" s="1616">
        <f>IF(('Pl 2016-20 PFC'!G303=0),"",'Pl 2016-20 PFC'!G303)</f>
        <v>1300000</v>
      </c>
      <c r="P28" s="1616" t="str">
        <f>IF(('Pl 2016-20 PFC'!H303=0),"",'Pl 2016-20 PFC'!H303)</f>
        <v/>
      </c>
      <c r="Q28" s="1616">
        <f>IF(('Pl 2016-20 PFC'!I303=0),"",'Pl 2016-20 PFC'!I303)</f>
        <v>1300000</v>
      </c>
      <c r="R28" s="1616"/>
      <c r="S28" s="1616"/>
      <c r="T28" s="1616"/>
      <c r="U28" s="1616">
        <f t="shared" si="13"/>
        <v>210000000</v>
      </c>
      <c r="V28" s="1640" t="str">
        <f t="shared" si="18"/>
        <v>0</v>
      </c>
      <c r="W28" s="1616">
        <f t="shared" si="14"/>
        <v>210000000</v>
      </c>
      <c r="X28" s="1617" t="e">
        <f t="shared" si="17"/>
        <v>#VALUE!</v>
      </c>
      <c r="Y28" s="1618"/>
      <c r="AB28" s="1629"/>
    </row>
    <row r="29" spans="1:29" s="1628" customFormat="1">
      <c r="A29" s="1614"/>
      <c r="B29" s="1615" t="s">
        <v>540</v>
      </c>
      <c r="C29" s="1616"/>
      <c r="D29" s="1616"/>
      <c r="E29" s="1616"/>
      <c r="F29" s="1616">
        <f>IF(('Pl 2016-20 PFC'!G161=0),"",'Pl 2016-20 PFC'!G161)</f>
        <v>2500000</v>
      </c>
      <c r="G29" s="1616" t="str">
        <f>IF(('Pl 2016-20 PFC'!H161=0),"",'Pl 2016-20 PFC'!H161)</f>
        <v/>
      </c>
      <c r="H29" s="1616">
        <f>IF(('Pl 2016-20 PFC'!I161=0),"",'Pl 2016-20 PFC'!I161)</f>
        <v>2500000</v>
      </c>
      <c r="I29" s="1616"/>
      <c r="J29" s="1616"/>
      <c r="K29" s="1616"/>
      <c r="L29" s="1616"/>
      <c r="M29" s="1616"/>
      <c r="N29" s="1616"/>
      <c r="O29" s="1616"/>
      <c r="P29" s="1616"/>
      <c r="Q29" s="1616"/>
      <c r="R29" s="1616"/>
      <c r="S29" s="1616"/>
      <c r="T29" s="1616"/>
      <c r="U29" s="1616">
        <f t="shared" si="13"/>
        <v>2500000</v>
      </c>
      <c r="V29" s="1640" t="str">
        <f t="shared" si="18"/>
        <v>0</v>
      </c>
      <c r="W29" s="1616">
        <f t="shared" si="14"/>
        <v>2500000</v>
      </c>
      <c r="X29" s="1617" t="e">
        <f t="shared" si="17"/>
        <v>#VALUE!</v>
      </c>
      <c r="Y29" s="1618"/>
      <c r="AB29" s="1629"/>
    </row>
    <row r="30" spans="1:29" s="1619" customFormat="1">
      <c r="A30" s="1614" t="s">
        <v>541</v>
      </c>
      <c r="B30" s="1627" t="s">
        <v>542</v>
      </c>
      <c r="C30" s="1616"/>
      <c r="D30" s="1616"/>
      <c r="E30" s="1616"/>
      <c r="F30" s="1616">
        <f>IF(('Pl 2016-20 PFC'!G162=0),"",'Pl 2016-20 PFC'!G162)</f>
        <v>6500000</v>
      </c>
      <c r="G30" s="1616" t="str">
        <f>IF(('Pl 2016-20 PFC'!H162=0),"",'Pl 2016-20 PFC'!H162)</f>
        <v/>
      </c>
      <c r="H30" s="1616">
        <f>IF(('Pl 2016-20 PFC'!I162=0),"",'Pl 2016-20 PFC'!I162)</f>
        <v>6500000</v>
      </c>
      <c r="I30" s="1616"/>
      <c r="J30" s="1616"/>
      <c r="K30" s="1616"/>
      <c r="L30" s="1616"/>
      <c r="M30" s="1616"/>
      <c r="N30" s="1616"/>
      <c r="O30" s="1616">
        <f>IF(('Pl 2016-20 PFC'!G302=0),"",'Pl 2016-20 PFC'!G302)</f>
        <v>3500000</v>
      </c>
      <c r="P30" s="1616" t="str">
        <f>IF(('Pl 2016-20 PFC'!H302=0),"",'Pl 2016-20 PFC'!H302)</f>
        <v/>
      </c>
      <c r="Q30" s="1616">
        <f>IF(('Pl 2016-20 PFC'!I302=0),"",'Pl 2016-20 PFC'!I302)</f>
        <v>3500000</v>
      </c>
      <c r="R30" s="1616"/>
      <c r="S30" s="1616"/>
      <c r="T30" s="1616"/>
      <c r="U30" s="1616">
        <f t="shared" si="13"/>
        <v>10000000</v>
      </c>
      <c r="V30" s="1640" t="str">
        <f t="shared" si="18"/>
        <v>0</v>
      </c>
      <c r="W30" s="1616">
        <f t="shared" si="14"/>
        <v>10000000</v>
      </c>
      <c r="X30" s="1617" t="e">
        <f t="shared" si="17"/>
        <v>#VALUE!</v>
      </c>
      <c r="Y30" s="1618"/>
      <c r="AB30" s="1620"/>
    </row>
    <row r="31" spans="1:29" s="1619" customFormat="1">
      <c r="A31" s="1614" t="s">
        <v>543</v>
      </c>
      <c r="B31" s="1630" t="s">
        <v>544</v>
      </c>
      <c r="C31" s="1616"/>
      <c r="D31" s="1616"/>
      <c r="E31" s="1616"/>
      <c r="F31" s="1626">
        <f>IF(('Pl 2016-20 PFC'!G163=0),"",'Pl 2016-20 PFC'!G163)</f>
        <v>2985000000</v>
      </c>
      <c r="G31" s="1626" t="str">
        <f>IF(('Pl 2016-20 PFC'!H163=0),"",'Pl 2016-20 PFC'!H163)</f>
        <v/>
      </c>
      <c r="H31" s="1626">
        <f>IF(('Pl 2016-20 PFC'!I163=0),"",'Pl 2016-20 PFC'!I163)</f>
        <v>2985000000</v>
      </c>
      <c r="I31" s="1616"/>
      <c r="J31" s="1616"/>
      <c r="K31" s="1616"/>
      <c r="L31" s="1616"/>
      <c r="M31" s="1616"/>
      <c r="N31" s="1616"/>
      <c r="O31" s="1616"/>
      <c r="P31" s="1616"/>
      <c r="Q31" s="1616"/>
      <c r="R31" s="1616" t="str">
        <f>IF((SUM(R32:R33)=0),"",SUM(R32:R33))</f>
        <v/>
      </c>
      <c r="S31" s="1616" t="str">
        <f>IF((SUM(S32:S33)=0),"",SUM(S32:S33))</f>
        <v/>
      </c>
      <c r="T31" s="1616" t="str">
        <f>IF((SUM(T32:T33)=0),"",SUM(T32:T33))</f>
        <v/>
      </c>
      <c r="U31" s="1616">
        <f t="shared" si="13"/>
        <v>2985000000</v>
      </c>
      <c r="V31" s="1640" t="str">
        <f t="shared" si="18"/>
        <v>0</v>
      </c>
      <c r="W31" s="1616">
        <f t="shared" si="14"/>
        <v>2985000000</v>
      </c>
      <c r="X31" s="1617" t="e">
        <f t="shared" si="17"/>
        <v>#VALUE!</v>
      </c>
      <c r="Y31" s="1618"/>
      <c r="AB31" s="1620"/>
    </row>
    <row r="32" spans="1:29" s="1619" customFormat="1" hidden="1">
      <c r="A32" s="1614"/>
      <c r="B32" s="1631" t="s">
        <v>545</v>
      </c>
      <c r="C32" s="1616"/>
      <c r="D32" s="1616"/>
      <c r="E32" s="1616"/>
      <c r="F32" s="1626" t="str">
        <f>IF(('Pl 2016-20 PFC'!H95=0),"",'Pl 2016-20 PFC'!H95)</f>
        <v/>
      </c>
      <c r="G32" s="1626">
        <f>IF(('Pl 2016-20 PFC'!I95=0),"",'Pl 2016-20 PFC'!I95)</f>
        <v>716860000</v>
      </c>
      <c r="H32" s="1626" t="e">
        <f>IF(('Pl 2016-20 PFC'!#REF!=0),"",'Pl 2016-20 PFC'!#REF!)</f>
        <v>#REF!</v>
      </c>
      <c r="I32" s="1616"/>
      <c r="J32" s="1616"/>
      <c r="K32" s="1616"/>
      <c r="L32" s="1616"/>
      <c r="M32" s="1616"/>
      <c r="N32" s="1616"/>
      <c r="O32" s="1616"/>
      <c r="P32" s="1616"/>
      <c r="Q32" s="1616"/>
      <c r="R32" s="1616"/>
      <c r="S32" s="1616"/>
      <c r="T32" s="1616"/>
      <c r="U32" s="1616" t="str">
        <f t="shared" si="13"/>
        <v/>
      </c>
      <c r="V32" s="1640">
        <f t="shared" si="16"/>
        <v>716860000</v>
      </c>
      <c r="W32" s="1616" t="e">
        <f t="shared" si="14"/>
        <v>#REF!</v>
      </c>
      <c r="X32" s="1617" t="e">
        <f t="shared" si="17"/>
        <v>#VALUE!</v>
      </c>
      <c r="Y32" s="1618"/>
      <c r="AB32" s="1620"/>
    </row>
    <row r="33" spans="1:29" s="1619" customFormat="1" hidden="1">
      <c r="A33" s="1614"/>
      <c r="B33" s="1631" t="s">
        <v>546</v>
      </c>
      <c r="C33" s="1616"/>
      <c r="D33" s="1616"/>
      <c r="E33" s="1616"/>
      <c r="F33" s="1626" t="e">
        <f>IF((F31-F32=0),"",F31-F32)</f>
        <v>#VALUE!</v>
      </c>
      <c r="G33" s="1626" t="e">
        <f>IF((G31-G32=0),"",G31-G32)</f>
        <v>#VALUE!</v>
      </c>
      <c r="H33" s="1626" t="e">
        <f>IF((H31-H32=0),"",H31-H32)</f>
        <v>#REF!</v>
      </c>
      <c r="I33" s="1616"/>
      <c r="J33" s="1616"/>
      <c r="K33" s="1616"/>
      <c r="L33" s="1616"/>
      <c r="M33" s="1616"/>
      <c r="N33" s="1616"/>
      <c r="O33" s="1616"/>
      <c r="P33" s="1616"/>
      <c r="Q33" s="1616"/>
      <c r="R33" s="1616"/>
      <c r="S33" s="1616"/>
      <c r="T33" s="1616"/>
      <c r="U33" s="1616" t="e">
        <f t="shared" si="13"/>
        <v>#VALUE!</v>
      </c>
      <c r="V33" s="1640" t="e">
        <f t="shared" si="16"/>
        <v>#VALUE!</v>
      </c>
      <c r="W33" s="1616" t="e">
        <f t="shared" si="14"/>
        <v>#REF!</v>
      </c>
      <c r="X33" s="1617" t="e">
        <f t="shared" si="17"/>
        <v>#VALUE!</v>
      </c>
      <c r="Y33" s="1618"/>
      <c r="AB33" s="1620"/>
    </row>
    <row r="34" spans="1:29" s="1619" customFormat="1" ht="31.2">
      <c r="A34" s="1614"/>
      <c r="B34" s="1632" t="s">
        <v>547</v>
      </c>
      <c r="C34" s="1616"/>
      <c r="D34" s="1616"/>
      <c r="E34" s="1616"/>
      <c r="F34" s="1626"/>
      <c r="G34" s="1626"/>
      <c r="H34" s="1626"/>
      <c r="I34" s="1616">
        <f>IF(('Pl 2016-20 PFC'!G184=0),"",'Pl 2016-20 PFC'!G184)</f>
        <v>2500000</v>
      </c>
      <c r="J34" s="1616" t="str">
        <f>IF(('Pl 2016-20 PFC'!H184=0),"",'Pl 2016-20 PFC'!H184)</f>
        <v/>
      </c>
      <c r="K34" s="1616">
        <f>IF(('Pl 2016-20 PFC'!I184=0),"",'Pl 2016-20 PFC'!I184)</f>
        <v>2500000</v>
      </c>
      <c r="L34" s="1616"/>
      <c r="M34" s="1616"/>
      <c r="N34" s="1616"/>
      <c r="O34" s="1616"/>
      <c r="P34" s="1616"/>
      <c r="Q34" s="1616"/>
      <c r="R34" s="1616"/>
      <c r="S34" s="1616"/>
      <c r="T34" s="1616"/>
      <c r="U34" s="1616">
        <f t="shared" si="13"/>
        <v>2500000</v>
      </c>
      <c r="V34" s="1640" t="str">
        <f>IF((SUM(D34,G34,J34,M34,P34,S34)=0),"0",(SUM(D34,G34,J34,M34,P34,S34)))</f>
        <v>0</v>
      </c>
      <c r="W34" s="1616">
        <f t="shared" si="14"/>
        <v>2500000</v>
      </c>
      <c r="X34" s="1617" t="e">
        <f t="shared" si="17"/>
        <v>#VALUE!</v>
      </c>
      <c r="Y34" s="1618"/>
      <c r="AB34" s="1620"/>
    </row>
    <row r="35" spans="1:29" s="1623" customFormat="1" ht="16.2" thickBot="1">
      <c r="A35" s="1614" t="s">
        <v>548</v>
      </c>
      <c r="B35" s="1615" t="s">
        <v>549</v>
      </c>
      <c r="C35" s="1616">
        <f>IF(('Pl 2016-20 PFC'!G127=0),"",'Pl 2016-20 PFC'!G127)</f>
        <v>1220000</v>
      </c>
      <c r="D35" s="1616" t="str">
        <f>IF(('Pl 2016-20 PFC'!H127=0),"",'Pl 2016-20 PFC'!H127)</f>
        <v/>
      </c>
      <c r="E35" s="1616">
        <f>IF(('Pl 2016-20 PFC'!I127=0),"",'Pl 2016-20 PFC'!I127)</f>
        <v>1220000</v>
      </c>
      <c r="F35" s="1616">
        <f>IF(('Pl 2016-20 PFC'!G165=0),"",'Pl 2016-20 PFC'!G165)</f>
        <v>2000000</v>
      </c>
      <c r="G35" s="1616" t="str">
        <f>IF(('Pl 2016-20 PFC'!H165=0),"",'Pl 2016-20 PFC'!H165)</f>
        <v/>
      </c>
      <c r="H35" s="1616">
        <f>IF(('Pl 2016-20 PFC'!I165=0),"",'Pl 2016-20 PFC'!I165)</f>
        <v>2000000</v>
      </c>
      <c r="I35" s="1616" t="str">
        <f>IF(('Pl 2016-20 PFC'!P127=0),"",'Pl 2016-20 PFC'!P127)</f>
        <v/>
      </c>
      <c r="J35" s="1616" t="str">
        <f>IF(('Pl 2016-20 PFC'!Q127=0),"",'Pl 2016-20 PFC'!Q127)</f>
        <v/>
      </c>
      <c r="K35" s="1616" t="str">
        <f>IF(('Pl 2016-20 PFC'!R127=0),"",'Pl 2016-20 PFC'!R127)</f>
        <v/>
      </c>
      <c r="L35" s="1616" t="str">
        <f>IF(('Pl 2016-20 PFC'!F285=0),"",'Pl 2016-20 PFC'!F285)</f>
        <v/>
      </c>
      <c r="M35" s="1616" t="str">
        <f>IF(('Pl 2016-20 PFC'!H285=0),"",'Pl 2016-20 PFC'!H285)</f>
        <v/>
      </c>
      <c r="N35" s="1616" t="str">
        <f>IF(('Pl 2016-20 PFC'!I285=0),"",'Pl 2016-20 PFC'!I285)</f>
        <v/>
      </c>
      <c r="O35" s="1616" t="str">
        <f>IF(('Pl 2016-20 PFC'!F301=0),"",'Pl 2016-20 PFC'!F301)</f>
        <v/>
      </c>
      <c r="P35" s="1616" t="str">
        <f>IF(('Pl 2016-20 PFC'!H301=0),"",'Pl 2016-20 PFC'!H301)</f>
        <v/>
      </c>
      <c r="Q35" s="1616" t="str">
        <f>IF(('Pl 2016-20 PFC'!I301=0),"",'Pl 2016-20 PFC'!I301)</f>
        <v/>
      </c>
      <c r="R35" s="1616"/>
      <c r="S35" s="1616"/>
      <c r="T35" s="1616"/>
      <c r="U35" s="1616">
        <f t="shared" si="13"/>
        <v>3220000</v>
      </c>
      <c r="V35" s="1640" t="str">
        <f>IF((SUM(D35,G35,J35,M35,P35,S35)=0),"0",(SUM(D35,G35,J35,M35,P35,S35)))</f>
        <v>0</v>
      </c>
      <c r="W35" s="1616">
        <f t="shared" si="14"/>
        <v>3220000</v>
      </c>
      <c r="X35" s="1617" t="e">
        <f t="shared" si="17"/>
        <v>#VALUE!</v>
      </c>
      <c r="Y35" s="1622"/>
      <c r="AB35" s="1624"/>
    </row>
    <row r="36" spans="1:29" s="1639" customFormat="1" ht="18" customHeight="1" thickBot="1">
      <c r="A36" s="1633" t="s">
        <v>550</v>
      </c>
      <c r="B36" s="1634" t="s">
        <v>631</v>
      </c>
      <c r="C36" s="1635">
        <f t="shared" ref="C36:T36" si="19">IF((SUM(C37:C49)=0),"",SUM(C37:C49))</f>
        <v>59881000</v>
      </c>
      <c r="D36" s="1635" t="str">
        <f t="shared" si="19"/>
        <v/>
      </c>
      <c r="E36" s="1635">
        <f t="shared" si="19"/>
        <v>59881000</v>
      </c>
      <c r="F36" s="1635">
        <f t="shared" si="19"/>
        <v>3600000</v>
      </c>
      <c r="G36" s="1635" t="str">
        <f t="shared" si="19"/>
        <v/>
      </c>
      <c r="H36" s="1635">
        <f t="shared" si="19"/>
        <v>3600000</v>
      </c>
      <c r="I36" s="1635" t="str">
        <f t="shared" si="19"/>
        <v/>
      </c>
      <c r="J36" s="1635" t="str">
        <f t="shared" si="19"/>
        <v/>
      </c>
      <c r="K36" s="1635" t="str">
        <f t="shared" si="19"/>
        <v/>
      </c>
      <c r="L36" s="1635">
        <f t="shared" si="19"/>
        <v>53000000</v>
      </c>
      <c r="M36" s="1635" t="str">
        <f t="shared" si="19"/>
        <v/>
      </c>
      <c r="N36" s="1635">
        <f t="shared" si="19"/>
        <v>53000000</v>
      </c>
      <c r="O36" s="1635" t="str">
        <f t="shared" si="19"/>
        <v/>
      </c>
      <c r="P36" s="1635" t="str">
        <f t="shared" si="19"/>
        <v/>
      </c>
      <c r="Q36" s="1635" t="str">
        <f t="shared" si="19"/>
        <v/>
      </c>
      <c r="R36" s="1635" t="str">
        <f t="shared" si="19"/>
        <v/>
      </c>
      <c r="S36" s="1635" t="str">
        <f t="shared" si="19"/>
        <v/>
      </c>
      <c r="T36" s="1635" t="str">
        <f t="shared" si="19"/>
        <v/>
      </c>
      <c r="U36" s="1635">
        <f t="shared" si="13"/>
        <v>116481000</v>
      </c>
      <c r="V36" s="1635" t="str">
        <f t="shared" si="16"/>
        <v/>
      </c>
      <c r="W36" s="1635">
        <f t="shared" si="14"/>
        <v>116481000</v>
      </c>
      <c r="X36" s="1636" t="e">
        <f>IF((SUM(X37:X49)=0),"",SUM(X37:X49))</f>
        <v>#VALUE!</v>
      </c>
      <c r="Y36" s="1637"/>
      <c r="Z36" s="1638"/>
      <c r="AA36" s="1638"/>
      <c r="AB36" s="1638"/>
      <c r="AC36" s="1638"/>
    </row>
    <row r="37" spans="1:29" s="1619" customFormat="1">
      <c r="A37" s="1614" t="s">
        <v>529</v>
      </c>
      <c r="B37" s="1615" t="s">
        <v>551</v>
      </c>
      <c r="C37" s="1616" t="str">
        <f>IF(('Pl 2016-20 PFC'!F131=0),"",'Pl 2016-20 PFC'!F131)</f>
        <v/>
      </c>
      <c r="D37" s="1616" t="str">
        <f>IF(('Pl 2016-20 PFC'!H131=0),"",'Pl 2016-20 PFC'!H131)</f>
        <v/>
      </c>
      <c r="E37" s="1616" t="str">
        <f>IF(('Pl 2016-20 PFC'!I131=0),"",'Pl 2016-20 PFC'!I131)</f>
        <v/>
      </c>
      <c r="F37" s="1616"/>
      <c r="G37" s="1616"/>
      <c r="H37" s="1616"/>
      <c r="I37" s="1616"/>
      <c r="J37" s="1616"/>
      <c r="K37" s="1616"/>
      <c r="L37" s="1616"/>
      <c r="M37" s="1616"/>
      <c r="N37" s="1616"/>
      <c r="O37" s="1616"/>
      <c r="P37" s="1616"/>
      <c r="Q37" s="1616"/>
      <c r="R37" s="1616"/>
      <c r="S37" s="1616"/>
      <c r="T37" s="1616"/>
      <c r="U37" s="1616" t="str">
        <f t="shared" si="13"/>
        <v/>
      </c>
      <c r="V37" s="1640" t="str">
        <f t="shared" si="16"/>
        <v/>
      </c>
      <c r="W37" s="1616" t="str">
        <f t="shared" si="14"/>
        <v/>
      </c>
      <c r="X37" s="1617" t="e">
        <f t="shared" ref="X37:X67" si="20">"$#ODWOŁANIE$#ODWOŁANIE"/"$#ODWOŁANIE$#ODWOŁANIE"%</f>
        <v>#VALUE!</v>
      </c>
      <c r="Y37" s="1618"/>
      <c r="AB37" s="1620"/>
    </row>
    <row r="38" spans="1:29" s="1619" customFormat="1" hidden="1">
      <c r="A38" s="1614" t="s">
        <v>552</v>
      </c>
      <c r="B38" s="1615" t="s">
        <v>553</v>
      </c>
      <c r="C38" s="1616"/>
      <c r="D38" s="1616"/>
      <c r="E38" s="1616"/>
      <c r="F38" s="1616"/>
      <c r="G38" s="1616"/>
      <c r="H38" s="1616"/>
      <c r="I38" s="1616" t="str">
        <f>IF(('Pl 2016-20 PFC'!F188=0),"",'Pl 2016-20 PFC'!F188)</f>
        <v/>
      </c>
      <c r="J38" s="1616" t="str">
        <f>IF(('Pl 2016-20 PFC'!H188=0),"",'Pl 2016-20 PFC'!H188)</f>
        <v/>
      </c>
      <c r="K38" s="1616" t="str">
        <f>IF(('Pl 2016-20 PFC'!I188=0),"",'Pl 2016-20 PFC'!I188)</f>
        <v/>
      </c>
      <c r="L38" s="1616"/>
      <c r="M38" s="1616"/>
      <c r="N38" s="1616"/>
      <c r="O38" s="1616"/>
      <c r="P38" s="1616"/>
      <c r="Q38" s="1616"/>
      <c r="R38" s="1616"/>
      <c r="S38" s="1616"/>
      <c r="T38" s="1616"/>
      <c r="U38" s="1640" t="str">
        <f t="shared" si="13"/>
        <v/>
      </c>
      <c r="V38" s="1640" t="str">
        <f t="shared" si="16"/>
        <v/>
      </c>
      <c r="W38" s="1640" t="str">
        <f t="shared" si="14"/>
        <v/>
      </c>
      <c r="X38" s="1617" t="e">
        <f t="shared" si="20"/>
        <v>#VALUE!</v>
      </c>
      <c r="Y38" s="1618"/>
      <c r="AB38" s="1620"/>
    </row>
    <row r="39" spans="1:29" s="1619" customFormat="1" hidden="1">
      <c r="A39" s="1614" t="s">
        <v>533</v>
      </c>
      <c r="B39" s="1641" t="s">
        <v>554</v>
      </c>
      <c r="C39" s="1616"/>
      <c r="D39" s="1616"/>
      <c r="E39" s="1616"/>
      <c r="F39" s="1616"/>
      <c r="G39" s="1616"/>
      <c r="H39" s="1616"/>
      <c r="I39" s="1616" t="str">
        <f>IF(('Pl 2016-20 PFC'!F189=0),"",'Pl 2016-20 PFC'!F189)</f>
        <v/>
      </c>
      <c r="J39" s="1616" t="str">
        <f>IF(('Pl 2016-20 PFC'!H189=0),"",'Pl 2016-20 PFC'!H189)</f>
        <v/>
      </c>
      <c r="K39" s="1616" t="str">
        <f>IF(('Pl 2016-20 PFC'!I189=0),"",'Pl 2016-20 PFC'!I189)</f>
        <v/>
      </c>
      <c r="L39" s="1616"/>
      <c r="M39" s="1616"/>
      <c r="N39" s="1616"/>
      <c r="O39" s="1616"/>
      <c r="P39" s="1616"/>
      <c r="Q39" s="1616"/>
      <c r="R39" s="1616"/>
      <c r="S39" s="1616"/>
      <c r="T39" s="1616"/>
      <c r="U39" s="1616" t="str">
        <f t="shared" si="13"/>
        <v/>
      </c>
      <c r="V39" s="1640" t="str">
        <f t="shared" si="16"/>
        <v/>
      </c>
      <c r="W39" s="1616" t="str">
        <f t="shared" si="14"/>
        <v/>
      </c>
      <c r="X39" s="1617" t="e">
        <f t="shared" si="20"/>
        <v>#VALUE!</v>
      </c>
      <c r="Y39" s="1618"/>
      <c r="AB39" s="1620"/>
    </row>
    <row r="40" spans="1:29" s="1619" customFormat="1" hidden="1">
      <c r="A40" s="1614" t="s">
        <v>535</v>
      </c>
      <c r="B40" s="1615" t="s">
        <v>555</v>
      </c>
      <c r="C40" s="1616" t="str">
        <f>IF(('Pl 2016-20 PFC'!F142=0),"",'Pl 2016-20 PFC'!F142)</f>
        <v/>
      </c>
      <c r="D40" s="1616" t="str">
        <f>IF(('Pl 2016-20 PFC'!H142=0),"",'Pl 2016-20 PFC'!H142)</f>
        <v/>
      </c>
      <c r="E40" s="1616" t="str">
        <f>IF(('Pl 2016-20 PFC'!I142=0),"",'Pl 2016-20 PFC'!I142)</f>
        <v/>
      </c>
      <c r="F40" s="1616"/>
      <c r="G40" s="1616"/>
      <c r="H40" s="1616"/>
      <c r="I40" s="1616"/>
      <c r="J40" s="1616"/>
      <c r="K40" s="1616"/>
      <c r="L40" s="1616"/>
      <c r="M40" s="1616"/>
      <c r="N40" s="1616"/>
      <c r="O40" s="1616"/>
      <c r="P40" s="1616"/>
      <c r="Q40" s="1616"/>
      <c r="R40" s="1616"/>
      <c r="S40" s="1616"/>
      <c r="T40" s="1616"/>
      <c r="U40" s="1640" t="str">
        <f t="shared" si="13"/>
        <v/>
      </c>
      <c r="V40" s="1640" t="str">
        <f t="shared" si="16"/>
        <v/>
      </c>
      <c r="W40" s="1640" t="str">
        <f t="shared" si="14"/>
        <v/>
      </c>
      <c r="X40" s="1617" t="e">
        <f t="shared" si="20"/>
        <v>#VALUE!</v>
      </c>
      <c r="Y40" s="1618"/>
      <c r="AB40" s="1620"/>
    </row>
    <row r="41" spans="1:29" s="1619" customFormat="1" hidden="1">
      <c r="A41" s="1614"/>
      <c r="B41" s="1615" t="s">
        <v>556</v>
      </c>
      <c r="C41" s="1616"/>
      <c r="D41" s="1616"/>
      <c r="E41" s="1616"/>
      <c r="F41" s="1616"/>
      <c r="G41" s="1616"/>
      <c r="H41" s="1616"/>
      <c r="I41" s="1616" t="str">
        <f>IF(('Pl 2016-20 PFC'!F190=0),"",'Pl 2016-20 PFC'!F190)</f>
        <v/>
      </c>
      <c r="J41" s="1616" t="str">
        <f>IF(('Pl 2016-20 PFC'!H190=0),"",'Pl 2016-20 PFC'!H190)</f>
        <v/>
      </c>
      <c r="K41" s="1616" t="str">
        <f>IF(('Pl 2016-20 PFC'!I190=0),"",'Pl 2016-20 PFC'!I190)</f>
        <v/>
      </c>
      <c r="L41" s="1616"/>
      <c r="M41" s="1616"/>
      <c r="N41" s="1616"/>
      <c r="O41" s="1616"/>
      <c r="P41" s="1616"/>
      <c r="Q41" s="1616"/>
      <c r="R41" s="1616"/>
      <c r="S41" s="1616"/>
      <c r="T41" s="1616"/>
      <c r="U41" s="1640" t="str">
        <f t="shared" si="13"/>
        <v/>
      </c>
      <c r="V41" s="1640" t="str">
        <f t="shared" si="16"/>
        <v/>
      </c>
      <c r="W41" s="1640" t="str">
        <f t="shared" si="14"/>
        <v/>
      </c>
      <c r="X41" s="1617" t="e">
        <f t="shared" si="20"/>
        <v>#VALUE!</v>
      </c>
      <c r="Y41" s="1618"/>
      <c r="AB41" s="1620"/>
    </row>
    <row r="42" spans="1:29" s="1619" customFormat="1" hidden="1">
      <c r="A42" s="1614" t="s">
        <v>538</v>
      </c>
      <c r="B42" s="1641" t="s">
        <v>557</v>
      </c>
      <c r="C42" s="1616" t="str">
        <f>IF(('Pl 2016-20 PFC'!F130=0),"",'Pl 2016-20 PFC'!F130)</f>
        <v/>
      </c>
      <c r="D42" s="1616" t="str">
        <f>IF(('Pl 2016-20 PFC'!H130=0),"",'Pl 2016-20 PFC'!H130)</f>
        <v/>
      </c>
      <c r="E42" s="1616" t="str">
        <f>IF(('Pl 2016-20 PFC'!I130=0),"",'Pl 2016-20 PFC'!I130)</f>
        <v/>
      </c>
      <c r="F42" s="1616" t="str">
        <f>IF(('Pl 2016-20 PFC'!F169=0),"",'Pl 2016-20 PFC'!F169)</f>
        <v/>
      </c>
      <c r="G42" s="1616" t="str">
        <f>IF(('Pl 2016-20 PFC'!H169=0),"",'Pl 2016-20 PFC'!H169)</f>
        <v/>
      </c>
      <c r="H42" s="1616" t="str">
        <f>IF(('Pl 2016-20 PFC'!I169=0),"",'Pl 2016-20 PFC'!I169)</f>
        <v/>
      </c>
      <c r="I42" s="1616"/>
      <c r="J42" s="1616"/>
      <c r="K42" s="1616"/>
      <c r="L42" s="1616"/>
      <c r="M42" s="1616"/>
      <c r="N42" s="1616"/>
      <c r="O42" s="1616"/>
      <c r="P42" s="1616"/>
      <c r="Q42" s="1616"/>
      <c r="R42" s="1616"/>
      <c r="S42" s="1616"/>
      <c r="T42" s="1616"/>
      <c r="U42" s="1616" t="str">
        <f t="shared" si="13"/>
        <v/>
      </c>
      <c r="V42" s="1640" t="str">
        <f t="shared" si="16"/>
        <v/>
      </c>
      <c r="W42" s="1616" t="str">
        <f t="shared" si="14"/>
        <v/>
      </c>
      <c r="X42" s="1617" t="e">
        <f t="shared" si="20"/>
        <v>#VALUE!</v>
      </c>
      <c r="Y42" s="1618"/>
      <c r="AB42" s="1620"/>
    </row>
    <row r="43" spans="1:29" s="1619" customFormat="1">
      <c r="A43" s="1614" t="s">
        <v>558</v>
      </c>
      <c r="B43" s="1641" t="s">
        <v>559</v>
      </c>
      <c r="C43" s="1642">
        <f>IF(('Pl 2016-20 PFC'!G146=0),"",'Pl 2016-20 PFC'!G146)</f>
        <v>49352000</v>
      </c>
      <c r="D43" s="1642" t="str">
        <f>IF(('Pl 2016-20 PFC'!H146=0),"",'Pl 2016-20 PFC'!H146)</f>
        <v/>
      </c>
      <c r="E43" s="1642">
        <f>IF(('Pl 2016-20 PFC'!I146=0),"",'Pl 2016-20 PFC'!I146)</f>
        <v>49352000</v>
      </c>
      <c r="F43" s="1616"/>
      <c r="G43" s="1616"/>
      <c r="H43" s="1616"/>
      <c r="I43" s="1616"/>
      <c r="J43" s="1616"/>
      <c r="K43" s="1616"/>
      <c r="L43" s="1616">
        <f>IF(('Pl 2016-20 PFC'!G295=0),"",'Pl 2016-20 PFC'!G295)</f>
        <v>50000000</v>
      </c>
      <c r="M43" s="1616" t="str">
        <f>IF(('Pl 2016-20 PFC'!H295=0),"",'Pl 2016-20 PFC'!H295)</f>
        <v/>
      </c>
      <c r="N43" s="1616">
        <f>IF(('Pl 2016-20 PFC'!I295=0),"",'Pl 2016-20 PFC'!I295)</f>
        <v>50000000</v>
      </c>
      <c r="O43" s="1616"/>
      <c r="P43" s="1616"/>
      <c r="Q43" s="1616"/>
      <c r="R43" s="1616"/>
      <c r="S43" s="1616"/>
      <c r="T43" s="1616"/>
      <c r="U43" s="1640">
        <f t="shared" ref="U43:W44" si="21">IF((SUM(C43,F43,I43,L43,O43,R43)=0),"0",(SUM(C43,F43,I43,L43,O43,R43)))</f>
        <v>99352000</v>
      </c>
      <c r="V43" s="1640" t="str">
        <f t="shared" ref="V43:V49" si="22">IF((SUM(D43,G43,J43,M43,P43,S43)=0),"0",(SUM(D43,G43,J43,M43,P43,S43)))</f>
        <v>0</v>
      </c>
      <c r="W43" s="1640">
        <f t="shared" si="21"/>
        <v>99352000</v>
      </c>
      <c r="X43" s="1617" t="e">
        <f t="shared" si="20"/>
        <v>#VALUE!</v>
      </c>
      <c r="Y43" s="1618"/>
      <c r="AB43" s="1620"/>
    </row>
    <row r="44" spans="1:29" s="1619" customFormat="1">
      <c r="A44" s="1614" t="s">
        <v>560</v>
      </c>
      <c r="B44" s="1641" t="s">
        <v>561</v>
      </c>
      <c r="C44" s="1642">
        <f>IF(('Pl 2016-20 PFC'!G145=0),"",'Pl 2016-20 PFC'!G145)</f>
        <v>520000</v>
      </c>
      <c r="D44" s="1642" t="str">
        <f>IF(('Pl 2016-20 PFC'!H145=0),"",'Pl 2016-20 PFC'!H145)</f>
        <v/>
      </c>
      <c r="E44" s="1642">
        <f>IF(('Pl 2016-20 PFC'!I145=0),"",'Pl 2016-20 PFC'!I145)</f>
        <v>520000</v>
      </c>
      <c r="F44" s="1616">
        <f>IF(('Pl 2016-20 PFC'!G172=0),"",'Pl 2016-20 PFC'!G172)</f>
        <v>300000</v>
      </c>
      <c r="G44" s="1616" t="str">
        <f>IF(('Pl 2016-20 PFC'!H172=0),"",'Pl 2016-20 PFC'!H172)</f>
        <v/>
      </c>
      <c r="H44" s="1616">
        <f>IF(('Pl 2016-20 PFC'!I172=0),"",'Pl 2016-20 PFC'!I172)</f>
        <v>300000</v>
      </c>
      <c r="I44" s="1616" t="str">
        <f>IF(('Pl 2016-20 PFC'!F191=0),"",'Pl 2016-20 PFC'!F191)</f>
        <v/>
      </c>
      <c r="J44" s="1616" t="str">
        <f>IF(('Pl 2016-20 PFC'!H191=0),"",'Pl 2016-20 PFC'!H191)</f>
        <v/>
      </c>
      <c r="K44" s="1616" t="str">
        <f>IF(('Pl 2016-20 PFC'!I191=0),"",'Pl 2016-20 PFC'!I191)</f>
        <v/>
      </c>
      <c r="L44" s="1616"/>
      <c r="M44" s="1616"/>
      <c r="N44" s="1616"/>
      <c r="O44" s="1616"/>
      <c r="P44" s="1616"/>
      <c r="Q44" s="1616"/>
      <c r="R44" s="1616"/>
      <c r="S44" s="1616"/>
      <c r="T44" s="1616"/>
      <c r="U44" s="1640">
        <f t="shared" si="21"/>
        <v>820000</v>
      </c>
      <c r="V44" s="1640" t="str">
        <f t="shared" si="22"/>
        <v>0</v>
      </c>
      <c r="W44" s="1640">
        <f t="shared" si="21"/>
        <v>820000</v>
      </c>
      <c r="X44" s="1617" t="e">
        <f t="shared" si="20"/>
        <v>#VALUE!</v>
      </c>
      <c r="Y44" s="1618"/>
      <c r="AB44" s="1620"/>
    </row>
    <row r="45" spans="1:29" s="1619" customFormat="1">
      <c r="A45" s="1614" t="s">
        <v>562</v>
      </c>
      <c r="B45" s="1641" t="str">
        <f>'Pl 2016-20 PFC'!B294</f>
        <v>Program Wsparcia Centrów Sportu Niepełnosprawnych</v>
      </c>
      <c r="C45" s="1642">
        <f>IF(('Pl 2016-20 PFC'!G148=0),"",'Pl 2016-20 PFC'!G148)</f>
        <v>9000</v>
      </c>
      <c r="D45" s="1642" t="str">
        <f>IF(('Pl 2016-20 PFC'!H148=0),"",'Pl 2016-20 PFC'!H148)</f>
        <v/>
      </c>
      <c r="E45" s="1642">
        <f>IF(('Pl 2016-20 PFC'!I148=0),"",'Pl 2016-20 PFC'!I148)</f>
        <v>9000</v>
      </c>
      <c r="F45" s="1616" t="str">
        <f>IF(('Pl 2016-20 PFC'!G176=0),"",'Pl 2016-20 PFC'!G176)</f>
        <v/>
      </c>
      <c r="G45" s="1616" t="str">
        <f>IF(('Pl 2016-20 PFC'!H176=0),"",'Pl 2016-20 PFC'!H176)</f>
        <v/>
      </c>
      <c r="H45" s="1616" t="str">
        <f>IF(('Pl 2016-20 PFC'!I176=0),"",'Pl 2016-20 PFC'!I176)</f>
        <v/>
      </c>
      <c r="I45" s="1616"/>
      <c r="J45" s="1616"/>
      <c r="K45" s="1616"/>
      <c r="L45" s="1616">
        <f>IF(('Pl 2016-20 PFC'!G294=0),"",'Pl 2016-20 PFC'!G294)</f>
        <v>3000000</v>
      </c>
      <c r="M45" s="1616" t="str">
        <f>IF(('Pl 2016-20 PFC'!H294=0),"",'Pl 2016-20 PFC'!H294)</f>
        <v/>
      </c>
      <c r="N45" s="1616">
        <f>IF(('Pl 2016-20 PFC'!I294=0),"",'Pl 2016-20 PFC'!I294)</f>
        <v>3000000</v>
      </c>
      <c r="O45" s="1616" t="str">
        <f>IF(('Pl 2016-20 PFC'!F313=0),"",'Pl 2016-20 PFC'!F313)</f>
        <v/>
      </c>
      <c r="P45" s="1616" t="str">
        <f>IF(('Pl 2016-20 PFC'!H313=0),"",'Pl 2016-20 PFC'!H313)</f>
        <v/>
      </c>
      <c r="Q45" s="1616" t="str">
        <f>IF(('Pl 2016-20 PFC'!I313=0),"",'Pl 2016-20 PFC'!I313)</f>
        <v/>
      </c>
      <c r="R45" s="1616"/>
      <c r="S45" s="1616"/>
      <c r="T45" s="1616"/>
      <c r="U45" s="1640">
        <f>IF((SUM(C45,F45,I45,L45,O45,R45)=0),"0",(SUM(C45,F45,I45,L45,O45,R45)))</f>
        <v>3009000</v>
      </c>
      <c r="V45" s="1640" t="str">
        <f t="shared" si="22"/>
        <v>0</v>
      </c>
      <c r="W45" s="1640">
        <f>IF((SUM(E45,H45,K45,N45,Q45,T45)=0),"",(SUM(E45,H45,K45,N45,Q45,T45)))</f>
        <v>3009000</v>
      </c>
      <c r="X45" s="1617" t="e">
        <f t="shared" si="20"/>
        <v>#VALUE!</v>
      </c>
      <c r="Y45" s="1618"/>
      <c r="AB45" s="1620"/>
    </row>
    <row r="46" spans="1:29" s="1619" customFormat="1">
      <c r="A46" s="1643"/>
      <c r="B46" s="1644" t="str">
        <f>'Pl 2016-20 PFC'!B178</f>
        <v>Program podnoszenia świadomości społecznej językiem filmowym - Głęboka Woda III</v>
      </c>
      <c r="C46" s="1642"/>
      <c r="D46" s="1642"/>
      <c r="E46" s="1642"/>
      <c r="F46" s="1616">
        <f>IF(('Pl 2016-20 PFC'!G178=0),"",'Pl 2016-20 PFC'!G178)</f>
        <v>1800000</v>
      </c>
      <c r="G46" s="1616" t="str">
        <f>IF(('Pl 2016-20 PFC'!H178=0),"",'Pl 2016-20 PFC'!H178)</f>
        <v/>
      </c>
      <c r="H46" s="1616">
        <f>IF(('Pl 2016-20 PFC'!I178=0),"",'Pl 2016-20 PFC'!I178)</f>
        <v>1800000</v>
      </c>
      <c r="I46" s="1616"/>
      <c r="J46" s="1616"/>
      <c r="K46" s="1616"/>
      <c r="L46" s="1616"/>
      <c r="M46" s="1616"/>
      <c r="N46" s="1616"/>
      <c r="O46" s="1616"/>
      <c r="P46" s="1616"/>
      <c r="Q46" s="1616"/>
      <c r="R46" s="1616"/>
      <c r="S46" s="1616"/>
      <c r="T46" s="1616"/>
      <c r="U46" s="1640">
        <f>IF((SUM(C46,F46,I46,L46,O46,R46)=0),"",(SUM(C46,F46,I46,L46,O46,R46)))</f>
        <v>1800000</v>
      </c>
      <c r="V46" s="1640" t="str">
        <f t="shared" si="22"/>
        <v>0</v>
      </c>
      <c r="W46" s="1640">
        <f>IF((SUM(E46,H46,K46,N46,Q46,T46)=0),"",(SUM(E46,H46,K46,N46,Q46,T46)))</f>
        <v>1800000</v>
      </c>
      <c r="X46" s="1617" t="e">
        <f t="shared" si="20"/>
        <v>#VALUE!</v>
      </c>
      <c r="Y46" s="1618"/>
      <c r="AB46" s="1620"/>
    </row>
    <row r="47" spans="1:29" s="1619" customFormat="1">
      <c r="A47" s="1643"/>
      <c r="B47" s="1644" t="s">
        <v>179</v>
      </c>
      <c r="C47" s="1642"/>
      <c r="D47" s="1642"/>
      <c r="E47" s="1642"/>
      <c r="F47" s="1616">
        <f>IF(('Pl 2016-20 PFC'!G177=0),"",'Pl 2016-20 PFC'!G177)</f>
        <v>1500000</v>
      </c>
      <c r="G47" s="1616" t="str">
        <f>IF(('Pl 2016-20 PFC'!H177=0),"",'Pl 2016-20 PFC'!H177)</f>
        <v/>
      </c>
      <c r="H47" s="1616">
        <f>IF(('Pl 2016-20 PFC'!I177=0),"",'Pl 2016-20 PFC'!I177)</f>
        <v>1500000</v>
      </c>
      <c r="I47" s="1616" t="str">
        <f>IF(('Pl 2016-20 PFC'!F194=0),"",'Pl 2016-20 PFC'!F194)</f>
        <v/>
      </c>
      <c r="J47" s="1616" t="str">
        <f>IF(('Pl 2016-20 PFC'!H194=0),"",'Pl 2016-20 PFC'!H194)</f>
        <v/>
      </c>
      <c r="K47" s="1616" t="str">
        <f>IF(('Pl 2016-20 PFC'!I194=0),"",'Pl 2016-20 PFC'!I194)</f>
        <v/>
      </c>
      <c r="L47" s="1616"/>
      <c r="M47" s="1616"/>
      <c r="N47" s="1616"/>
      <c r="O47" s="1616"/>
      <c r="P47" s="1616"/>
      <c r="Q47" s="1616"/>
      <c r="R47" s="1616"/>
      <c r="S47" s="1616"/>
      <c r="T47" s="1616"/>
      <c r="U47" s="1616">
        <f>IF((SUM(C47,F47,I47,L47,O47,R47)=0),"",(SUM(C47,F47,I47,L47,O47,R47)))</f>
        <v>1500000</v>
      </c>
      <c r="V47" s="1640" t="str">
        <f t="shared" si="22"/>
        <v>0</v>
      </c>
      <c r="W47" s="1616">
        <f>IF((SUM(E47,H47,K47,N47,Q47,T47)=0),"",(SUM(E47,H47,K47,N47,Q47,T47)))</f>
        <v>1500000</v>
      </c>
      <c r="X47" s="1617" t="e">
        <f t="shared" si="20"/>
        <v>#VALUE!</v>
      </c>
      <c r="Y47" s="1618"/>
      <c r="AB47" s="1620"/>
    </row>
    <row r="48" spans="1:29" s="1619" customFormat="1" ht="31.2">
      <c r="A48" s="1643"/>
      <c r="B48" s="2023" t="s">
        <v>1118</v>
      </c>
      <c r="C48" s="1642">
        <f>IF(('Pl 2016-20 PFC'!G149=0),"",'Pl 2016-20 PFC'!G149)</f>
        <v>10000000</v>
      </c>
      <c r="D48" s="1642" t="str">
        <f>IF(('Pl 2016-20 PFC'!H149=0),"",'Pl 2016-20 PFC'!H149)</f>
        <v/>
      </c>
      <c r="E48" s="1642">
        <f>IF(('Pl 2016-20 PFC'!I149=0),"",'Pl 2016-20 PFC'!I149)</f>
        <v>10000000</v>
      </c>
      <c r="F48" s="1616"/>
      <c r="G48" s="1616"/>
      <c r="H48" s="1616"/>
      <c r="I48" s="1616"/>
      <c r="J48" s="1616"/>
      <c r="K48" s="1616"/>
      <c r="L48" s="1616"/>
      <c r="M48" s="1616"/>
      <c r="N48" s="1616"/>
      <c r="O48" s="1616"/>
      <c r="P48" s="1616"/>
      <c r="Q48" s="1616"/>
      <c r="R48" s="1616"/>
      <c r="S48" s="1616"/>
      <c r="T48" s="1616"/>
      <c r="U48" s="1616">
        <f>IF((SUM(C48,F48,I48,L48,O48,R48)=0),"",(SUM(C48,F48,I48,L48,O48,R48)))</f>
        <v>10000000</v>
      </c>
      <c r="V48" s="1640" t="str">
        <f t="shared" si="22"/>
        <v>0</v>
      </c>
      <c r="W48" s="1616">
        <f>IF((SUM(E48,H48,K48,N48,Q48,T48)=0),"",(SUM(E48,H48,K48,N48,Q48,T48)))</f>
        <v>10000000</v>
      </c>
      <c r="X48" s="1617"/>
      <c r="Y48" s="1618"/>
      <c r="AB48" s="1620"/>
    </row>
    <row r="49" spans="1:29" s="1619" customFormat="1" ht="16.2" thickBot="1">
      <c r="A49" s="1643" t="s">
        <v>563</v>
      </c>
      <c r="B49" s="1641" t="s">
        <v>168</v>
      </c>
      <c r="C49" s="1642" t="str">
        <f>IF(('Pl 2016-20 PFC'!G150=0),"",'Pl 2016-20 PFC'!G150)</f>
        <v/>
      </c>
      <c r="D49" s="1642" t="str">
        <f>IF(('Pl 2016-20 PFC'!H150=0),"",'Pl 2016-20 PFC'!H150)</f>
        <v/>
      </c>
      <c r="E49" s="1642" t="str">
        <f>IF(('Pl 2016-20 PFC'!I150=0),"",'Pl 2016-20 PFC'!I150)</f>
        <v/>
      </c>
      <c r="F49" s="1616" t="str">
        <f>IF(('Pl 2016-20 PFC'!F179=0),"",'Pl 2016-20 PFC'!F179)</f>
        <v/>
      </c>
      <c r="G49" s="1616" t="str">
        <f>IF(('Pl 2016-20 PFC'!H179=0),"",'Pl 2016-20 PFC'!H179)</f>
        <v/>
      </c>
      <c r="H49" s="1616" t="str">
        <f>IF(('Pl 2016-20 PFC'!I179=0),"",'Pl 2016-20 PFC'!I179)</f>
        <v/>
      </c>
      <c r="I49" s="1616"/>
      <c r="J49" s="1616"/>
      <c r="K49" s="1616"/>
      <c r="L49" s="1616" t="str">
        <f>IF(('Pl 2016-20 PFC'!F296=0),"",'Pl 2016-20 PFC'!F296)</f>
        <v/>
      </c>
      <c r="M49" s="1616" t="str">
        <f>IF(('Pl 2016-20 PFC'!H296=0),"",'Pl 2016-20 PFC'!H296)</f>
        <v/>
      </c>
      <c r="N49" s="1616" t="str">
        <f>IF(('Pl 2016-20 PFC'!I296=0),"",'Pl 2016-20 PFC'!I296)</f>
        <v/>
      </c>
      <c r="O49" s="1616" t="str">
        <f>IF(('Pl 2016-20 PFC'!F314=0),"",'Pl 2016-20 PFC'!F314)</f>
        <v/>
      </c>
      <c r="P49" s="1616" t="str">
        <f>IF(('Pl 2016-20 PFC'!H314=0),"",'Pl 2016-20 PFC'!H314)</f>
        <v/>
      </c>
      <c r="Q49" s="1616" t="str">
        <f>IF(('Pl 2016-20 PFC'!I314=0),"",'Pl 2016-20 PFC'!I314)</f>
        <v/>
      </c>
      <c r="R49" s="1616"/>
      <c r="S49" s="1616"/>
      <c r="T49" s="1616"/>
      <c r="U49" s="1616" t="str">
        <f>IF((SUM(C49,F49,I49,L49,O49,R49)=0),"",(SUM(C49,F49,I49,L49,O49,R49)))</f>
        <v/>
      </c>
      <c r="V49" s="1640" t="str">
        <f t="shared" si="22"/>
        <v>0</v>
      </c>
      <c r="W49" s="1616" t="str">
        <f>IF((SUM(E49,H49,K49,N49,Q49,T49)=0),"",(SUM(E49,H49,K49,N49,Q49,T49)))</f>
        <v/>
      </c>
      <c r="X49" s="1617" t="e">
        <f t="shared" si="20"/>
        <v>#VALUE!</v>
      </c>
      <c r="Y49" s="1618"/>
      <c r="AB49" s="1620"/>
    </row>
    <row r="50" spans="1:29" s="455" customFormat="1" ht="16.2" thickBot="1">
      <c r="A50" s="494" t="s">
        <v>14</v>
      </c>
      <c r="B50" s="495" t="s">
        <v>564</v>
      </c>
      <c r="C50" s="496" t="s">
        <v>565</v>
      </c>
      <c r="D50" s="496" t="s">
        <v>565</v>
      </c>
      <c r="E50" s="496" t="s">
        <v>565</v>
      </c>
      <c r="F50" s="496" t="s">
        <v>565</v>
      </c>
      <c r="G50" s="496" t="s">
        <v>565</v>
      </c>
      <c r="H50" s="496" t="s">
        <v>565</v>
      </c>
      <c r="I50" s="496">
        <f>I51</f>
        <v>3782000</v>
      </c>
      <c r="J50" s="496" t="str">
        <f>J51</f>
        <v/>
      </c>
      <c r="K50" s="496">
        <f>K51</f>
        <v>3782000</v>
      </c>
      <c r="L50" s="496" t="s">
        <v>565</v>
      </c>
      <c r="M50" s="496" t="s">
        <v>565</v>
      </c>
      <c r="N50" s="496" t="s">
        <v>565</v>
      </c>
      <c r="O50" s="496" t="s">
        <v>565</v>
      </c>
      <c r="P50" s="496" t="s">
        <v>565</v>
      </c>
      <c r="Q50" s="496" t="s">
        <v>565</v>
      </c>
      <c r="R50" s="496" t="s">
        <v>565</v>
      </c>
      <c r="S50" s="496" t="s">
        <v>565</v>
      </c>
      <c r="T50" s="496" t="s">
        <v>565</v>
      </c>
      <c r="U50" s="497">
        <f>IF((SUM(U51:U53)=0),"",SUM(U51:U53))</f>
        <v>3782000</v>
      </c>
      <c r="V50" s="1868" t="str">
        <f>IF((SUM(V51:V53)=0),"",SUM(V51:V53))</f>
        <v/>
      </c>
      <c r="W50" s="497">
        <f>IF((SUM(W51:W53)=0),"",SUM(W51:W53))</f>
        <v>3782000</v>
      </c>
      <c r="X50" s="498" t="e">
        <f t="shared" si="20"/>
        <v>#VALUE!</v>
      </c>
      <c r="Y50" s="454"/>
      <c r="AB50" s="456"/>
    </row>
    <row r="51" spans="1:29" s="504" customFormat="1">
      <c r="A51" s="499"/>
      <c r="B51" s="500" t="s">
        <v>516</v>
      </c>
      <c r="C51" s="501"/>
      <c r="D51" s="501"/>
      <c r="E51" s="501"/>
      <c r="F51" s="501"/>
      <c r="G51" s="501"/>
      <c r="H51" s="501"/>
      <c r="I51" s="501">
        <f>IF(('Pl 2016-20 PFC'!G199=0),"",'Pl 2016-20 PFC'!G199)</f>
        <v>3782000</v>
      </c>
      <c r="J51" s="501" t="str">
        <f>IF(('Pl 2016-20 PFC'!H199=0),"",'Pl 2016-20 PFC'!H199)</f>
        <v/>
      </c>
      <c r="K51" s="501">
        <f>IF(('Pl 2016-20 PFC'!I199=0),"",'Pl 2016-20 PFC'!I199)</f>
        <v>3782000</v>
      </c>
      <c r="L51" s="502"/>
      <c r="M51" s="501"/>
      <c r="N51" s="501"/>
      <c r="O51" s="502"/>
      <c r="P51" s="502"/>
      <c r="Q51" s="502"/>
      <c r="R51" s="502"/>
      <c r="S51" s="502"/>
      <c r="T51" s="502"/>
      <c r="U51" s="502">
        <f t="shared" ref="U51:W53" si="23">IF((SUM(C51,F51,I51,L51,O51,R51)=0),"",(SUM(C51,F51,I51,L51,O51,R51)))</f>
        <v>3782000</v>
      </c>
      <c r="V51" s="1869" t="str">
        <f>IF((SUM(D51,G51,J51,M51,P51,S51)=0),"0",(SUM(D51,G51,J51,M51,P51,S51)))</f>
        <v>0</v>
      </c>
      <c r="W51" s="502">
        <f t="shared" si="23"/>
        <v>3782000</v>
      </c>
      <c r="X51" s="503" t="e">
        <f t="shared" si="20"/>
        <v>#VALUE!</v>
      </c>
      <c r="Y51" s="460"/>
      <c r="AB51" s="460"/>
    </row>
    <row r="52" spans="1:29" s="504" customFormat="1">
      <c r="A52" s="505"/>
      <c r="B52" s="506" t="s">
        <v>517</v>
      </c>
      <c r="C52" s="507"/>
      <c r="D52" s="507"/>
      <c r="E52" s="507"/>
      <c r="F52" s="507"/>
      <c r="G52" s="507"/>
      <c r="H52" s="507"/>
      <c r="I52" s="507"/>
      <c r="J52" s="507"/>
      <c r="K52" s="507"/>
      <c r="L52" s="508"/>
      <c r="M52" s="507"/>
      <c r="N52" s="507"/>
      <c r="O52" s="508"/>
      <c r="P52" s="508"/>
      <c r="Q52" s="508"/>
      <c r="R52" s="508"/>
      <c r="S52" s="508"/>
      <c r="T52" s="508"/>
      <c r="U52" s="508" t="str">
        <f t="shared" si="23"/>
        <v/>
      </c>
      <c r="V52" s="1870" t="str">
        <f t="shared" si="23"/>
        <v/>
      </c>
      <c r="W52" s="508" t="str">
        <f t="shared" si="23"/>
        <v/>
      </c>
      <c r="X52" s="509" t="e">
        <f t="shared" si="20"/>
        <v>#VALUE!</v>
      </c>
      <c r="Y52" s="460"/>
      <c r="AB52" s="460"/>
    </row>
    <row r="53" spans="1:29" s="504" customFormat="1" ht="16.2" thickBot="1">
      <c r="A53" s="510"/>
      <c r="B53" s="511" t="s">
        <v>518</v>
      </c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3"/>
      <c r="S53" s="513"/>
      <c r="T53" s="513"/>
      <c r="U53" s="513" t="str">
        <f t="shared" si="23"/>
        <v/>
      </c>
      <c r="V53" s="1871" t="str">
        <f t="shared" si="23"/>
        <v/>
      </c>
      <c r="W53" s="513" t="str">
        <f t="shared" si="23"/>
        <v/>
      </c>
      <c r="X53" s="514" t="e">
        <f t="shared" si="20"/>
        <v>#VALUE!</v>
      </c>
      <c r="Y53" s="460"/>
      <c r="AB53" s="460"/>
    </row>
    <row r="54" spans="1:29" s="517" customFormat="1" ht="21.9" customHeight="1" thickBot="1">
      <c r="A54" s="494" t="s">
        <v>18</v>
      </c>
      <c r="B54" s="515" t="s">
        <v>566</v>
      </c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7">
        <f>IF((SUM(U55:U57)=0),"",SUM(U55:U57))</f>
        <v>335682000</v>
      </c>
      <c r="V54" s="1868" t="str">
        <f>IF((SUM(V55:V57)=0),"",SUM(V55:V57))</f>
        <v/>
      </c>
      <c r="W54" s="497">
        <f>IF((SUM(W55:W57)=0),"",SUM(W55:W57))</f>
        <v>335682000</v>
      </c>
      <c r="X54" s="498" t="e">
        <f t="shared" si="20"/>
        <v>#VALUE!</v>
      </c>
      <c r="Y54" s="516"/>
      <c r="AB54" s="518"/>
    </row>
    <row r="55" spans="1:29" s="504" customFormat="1">
      <c r="A55" s="499"/>
      <c r="B55" s="500" t="s">
        <v>516</v>
      </c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2"/>
      <c r="S55" s="502"/>
      <c r="T55" s="502"/>
      <c r="U55" s="502">
        <f>IF((SUM('Pl 2016-20 PFC'!G226,'Pl 2016-20 PFC'!G231,'Pl 2016-20 PFC'!G229,'Pl 2016-20 PFC'!G234,'Pl 2016-20 PFC'!G237,'Pl 2016-20 PFC'!G271)=0),"",SUM('Pl 2016-20 PFC'!G226,'Pl 2016-20 PFC'!G231,'Pl 2016-20 PFC'!G229,'Pl 2016-20 PFC'!G234,'Pl 2016-20 PFC'!G237,'Pl 2016-20 PFC'!G271))</f>
        <v>335271000</v>
      </c>
      <c r="V55" s="502" t="str">
        <f>IF((SUM('Pl 2016-20 PFC'!H226,'Pl 2016-20 PFC'!H231,'Pl 2016-20 PFC'!H229,'Pl 2016-20 PFC'!H234,'Pl 2016-20 PFC'!H237,'Pl 2016-20 PFC'!H271)=0),"",SUM('Pl 2016-20 PFC'!H226,'Pl 2016-20 PFC'!H231,'Pl 2016-20 PFC'!H229,'Pl 2016-20 PFC'!H234,'Pl 2016-20 PFC'!H237,'Pl 2016-20 PFC'!H271))</f>
        <v/>
      </c>
      <c r="W55" s="502">
        <f>IF((SUM('Pl 2016-20 PFC'!I226,'Pl 2016-20 PFC'!I231,'Pl 2016-20 PFC'!I229,'Pl 2016-20 PFC'!I234,'Pl 2016-20 PFC'!I237,'Pl 2016-20 PFC'!I271)=0),"",SUM('Pl 2016-20 PFC'!I226,'Pl 2016-20 PFC'!I231,'Pl 2016-20 PFC'!I229,'Pl 2016-20 PFC'!I234,'Pl 2016-20 PFC'!I237,'Pl 2016-20 PFC'!I271))</f>
        <v>335271000</v>
      </c>
      <c r="X55" s="519" t="e">
        <f t="shared" si="20"/>
        <v>#VALUE!</v>
      </c>
      <c r="Y55" s="516"/>
      <c r="AB55" s="460"/>
    </row>
    <row r="56" spans="1:29" s="504" customFormat="1" ht="16.2" thickBot="1">
      <c r="A56" s="505"/>
      <c r="B56" s="506" t="s">
        <v>517</v>
      </c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8"/>
      <c r="S56" s="508"/>
      <c r="T56" s="508"/>
      <c r="U56" s="508">
        <f>SUM('Pl 2016-20 PFC'!G205:G209)</f>
        <v>348000</v>
      </c>
      <c r="V56" s="508">
        <f>SUM('Pl 2016-20 PFC'!H205:H209)</f>
        <v>0</v>
      </c>
      <c r="W56" s="508">
        <f>SUM('Pl 2016-20 PFC'!I205:I209)</f>
        <v>348000</v>
      </c>
      <c r="X56" s="508">
        <f>SUM('Pl 2016-20 PFC'!J205:J209)</f>
        <v>0</v>
      </c>
      <c r="Y56" s="508">
        <f>SUM('Pl 2016-20 PFC'!K205:K209)</f>
        <v>0</v>
      </c>
      <c r="Z56" s="508">
        <f>SUM('Pl 2016-20 PFC'!L205:L209)</f>
        <v>0</v>
      </c>
      <c r="AA56" s="508">
        <f>SUM('Pl 2016-20 PFC'!M205:M209)</f>
        <v>0</v>
      </c>
      <c r="AB56" s="508">
        <f>SUM('Pl 2016-20 PFC'!N205:N209)</f>
        <v>0</v>
      </c>
      <c r="AC56" s="508">
        <f>SUM('Pl 2016-20 PFC'!O205:O209)</f>
        <v>0</v>
      </c>
    </row>
    <row r="57" spans="1:29" s="504" customFormat="1" ht="16.2" thickBot="1">
      <c r="A57" s="510"/>
      <c r="B57" s="511" t="s">
        <v>518</v>
      </c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3"/>
      <c r="S57" s="513"/>
      <c r="T57" s="513"/>
      <c r="U57" s="513">
        <f>SUM('Pl 2016-20 PFC'!G227,'Pl 2016-20 PFC'!G232,'Pl 2016-20 PFC'!G235,'Pl 2016-20 PFC'!G241)</f>
        <v>63000</v>
      </c>
      <c r="V57" s="513">
        <f>SUM('Pl 2016-20 PFC'!H227,'Pl 2016-20 PFC'!H232,'Pl 2016-20 PFC'!H235,'Pl 2016-20 PFC'!H241)</f>
        <v>0</v>
      </c>
      <c r="W57" s="513">
        <f>SUM('Pl 2016-20 PFC'!I227,'Pl 2016-20 PFC'!I232,'Pl 2016-20 PFC'!I235,'Pl 2016-20 PFC'!I241)</f>
        <v>63000</v>
      </c>
      <c r="X57" s="519" t="e">
        <f t="shared" si="20"/>
        <v>#VALUE!</v>
      </c>
      <c r="Y57" s="516"/>
      <c r="AB57" s="460"/>
    </row>
    <row r="58" spans="1:29" s="517" customFormat="1" ht="16.2" thickBot="1">
      <c r="A58" s="494" t="s">
        <v>22</v>
      </c>
      <c r="B58" s="495" t="s">
        <v>567</v>
      </c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7">
        <f>IF(('Pl 2016-20 PFC'!G326=0),"",'Pl 2016-20 PFC'!G326)</f>
        <v>1650000</v>
      </c>
      <c r="V58" s="1868" t="str">
        <f>IF(('Pl 2016-20 PFC'!H326=0),"0",'Pl 2016-20 PFC'!H326)</f>
        <v>0</v>
      </c>
      <c r="W58" s="497">
        <f>IF(('Pl 2016-20 PFC'!I326=0),"",'Pl 2016-20 PFC'!I326)</f>
        <v>1650000</v>
      </c>
      <c r="X58" s="498" t="e">
        <f t="shared" si="20"/>
        <v>#VALUE!</v>
      </c>
      <c r="Y58" s="516"/>
      <c r="AB58" s="518"/>
    </row>
    <row r="59" spans="1:29" s="455" customFormat="1" ht="21.9" customHeight="1" thickBot="1">
      <c r="A59" s="494" t="s">
        <v>24</v>
      </c>
      <c r="B59" s="515" t="s">
        <v>71</v>
      </c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7">
        <f>IF((SUM(U60:U62)=0),"",SUM(U60:U62))</f>
        <v>45489000</v>
      </c>
      <c r="V59" s="1868" t="str">
        <f>IF((SUM(V60:V62)=0),"",SUM(V60:V62))</f>
        <v/>
      </c>
      <c r="W59" s="497">
        <f>IF((SUM(W60:W62)=0),"",SUM(W60:W62))</f>
        <v>45489000</v>
      </c>
      <c r="X59" s="498" t="e">
        <f t="shared" si="20"/>
        <v>#VALUE!</v>
      </c>
      <c r="Y59" s="454"/>
      <c r="AB59" s="456"/>
    </row>
    <row r="60" spans="1:29" s="461" customFormat="1" ht="16.2" thickBot="1">
      <c r="A60" s="520"/>
      <c r="B60" s="500" t="s">
        <v>516</v>
      </c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2"/>
      <c r="S60" s="522"/>
      <c r="T60" s="522"/>
      <c r="U60" s="522">
        <f>IF((SUM(U63,U65)=0),"",SUM(U63,U65))</f>
        <v>45489000</v>
      </c>
      <c r="V60" s="1872" t="str">
        <f>IF((SUM(V63,V65)=0),"",SUM(V63,V65))</f>
        <v/>
      </c>
      <c r="W60" s="522">
        <f>IF((SUM(W63,W65)=0),"",SUM(W63,W65))</f>
        <v>45489000</v>
      </c>
      <c r="X60" s="523" t="e">
        <f t="shared" si="20"/>
        <v>#VALUE!</v>
      </c>
      <c r="Y60" s="460"/>
      <c r="AB60" s="462"/>
    </row>
    <row r="61" spans="1:29" s="461" customFormat="1" ht="16.2" thickBot="1">
      <c r="A61" s="524"/>
      <c r="B61" s="506" t="s">
        <v>517</v>
      </c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465"/>
      <c r="S61" s="465"/>
      <c r="T61" s="465"/>
      <c r="U61" s="465" t="str">
        <f t="shared" ref="U61:W62" si="24">IF((U66=0),"",U66)</f>
        <v/>
      </c>
      <c r="V61" s="1861" t="str">
        <f t="shared" si="24"/>
        <v/>
      </c>
      <c r="W61" s="465" t="str">
        <f t="shared" si="24"/>
        <v/>
      </c>
      <c r="X61" s="523" t="e">
        <f t="shared" si="20"/>
        <v>#VALUE!</v>
      </c>
      <c r="Y61" s="460"/>
      <c r="AB61" s="462"/>
    </row>
    <row r="62" spans="1:29" s="461" customFormat="1" ht="16.2" thickBot="1">
      <c r="A62" s="526"/>
      <c r="B62" s="511" t="s">
        <v>518</v>
      </c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8"/>
      <c r="S62" s="528"/>
      <c r="T62" s="528"/>
      <c r="U62" s="528" t="str">
        <f t="shared" si="24"/>
        <v/>
      </c>
      <c r="V62" s="1873" t="str">
        <f t="shared" si="24"/>
        <v/>
      </c>
      <c r="W62" s="528" t="str">
        <f t="shared" si="24"/>
        <v/>
      </c>
      <c r="X62" s="523" t="e">
        <f t="shared" si="20"/>
        <v>#VALUE!</v>
      </c>
      <c r="Y62" s="460"/>
      <c r="AB62" s="462"/>
    </row>
    <row r="63" spans="1:29" ht="15.75" customHeight="1">
      <c r="A63" s="529"/>
      <c r="B63" s="530" t="s">
        <v>568</v>
      </c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2"/>
      <c r="S63" s="532"/>
      <c r="T63" s="532"/>
      <c r="U63" s="532">
        <f>IF(('Pl 2016-20 PFC'!G276=0),"",'Pl 2016-20 PFC'!G276)</f>
        <v>21489000</v>
      </c>
      <c r="V63" s="1874" t="str">
        <f>IF(('Pl 2016-20 PFC'!H276=0),"",'Pl 2016-20 PFC'!H276)</f>
        <v/>
      </c>
      <c r="W63" s="532">
        <f>IF(('Pl 2016-20 PFC'!I276=0),"",'Pl 2016-20 PFC'!I276)</f>
        <v>21489000</v>
      </c>
      <c r="X63" s="533" t="e">
        <f t="shared" si="20"/>
        <v>#VALUE!</v>
      </c>
    </row>
    <row r="64" spans="1:29" s="540" customFormat="1" ht="15.75" customHeight="1">
      <c r="A64" s="534" t="s">
        <v>569</v>
      </c>
      <c r="B64" s="535" t="s">
        <v>570</v>
      </c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7"/>
      <c r="S64" s="537"/>
      <c r="T64" s="537"/>
      <c r="U64" s="537">
        <f>IF((SUM(U65:U67)=0),"",SUM(U65:U67))</f>
        <v>24000000</v>
      </c>
      <c r="V64" s="1875" t="str">
        <f>IF((SUM(V65:V67)=0),"",SUM(V65:V67))</f>
        <v/>
      </c>
      <c r="W64" s="537">
        <f>IF((SUM(W65:W67)=0),"",SUM(W65:W67))</f>
        <v>24000000</v>
      </c>
      <c r="X64" s="538" t="e">
        <f t="shared" si="20"/>
        <v>#VALUE!</v>
      </c>
      <c r="Y64" s="539"/>
      <c r="AB64" s="541"/>
    </row>
    <row r="65" spans="1:24" ht="16.2" thickBot="1">
      <c r="A65" s="1775"/>
      <c r="B65" s="1776" t="s">
        <v>516</v>
      </c>
      <c r="C65" s="1777"/>
      <c r="D65" s="1777"/>
      <c r="E65" s="1777"/>
      <c r="F65" s="1777"/>
      <c r="G65" s="1777"/>
      <c r="H65" s="1777"/>
      <c r="I65" s="1777"/>
      <c r="J65" s="1777"/>
      <c r="K65" s="1777"/>
      <c r="L65" s="1777"/>
      <c r="M65" s="1777"/>
      <c r="N65" s="1777"/>
      <c r="O65" s="1777"/>
      <c r="P65" s="1777"/>
      <c r="Q65" s="1777"/>
      <c r="R65" s="1778"/>
      <c r="S65" s="1778"/>
      <c r="T65" s="1778"/>
      <c r="U65" s="1779">
        <f>IF(('Pl 2016-20 PFC'!G278=0),"",'Pl 2016-20 PFC'!G278)</f>
        <v>24000000</v>
      </c>
      <c r="V65" s="1876" t="str">
        <f>IF(('Pl 2016-20 PFC'!H278=0),"",'Pl 2016-20 PFC'!H278)</f>
        <v/>
      </c>
      <c r="W65" s="542">
        <f>IF(('Pl 2016-20 PFC'!I278=0),"",'Pl 2016-20 PFC'!I278)</f>
        <v>24000000</v>
      </c>
      <c r="X65" s="543" t="e">
        <f t="shared" si="20"/>
        <v>#VALUE!</v>
      </c>
    </row>
    <row r="66" spans="1:24">
      <c r="A66" s="1771"/>
      <c r="B66" s="1772" t="s">
        <v>517</v>
      </c>
      <c r="C66" s="1773"/>
      <c r="D66" s="1773"/>
      <c r="E66" s="1773"/>
      <c r="F66" s="1773"/>
      <c r="G66" s="1773"/>
      <c r="H66" s="1773"/>
      <c r="I66" s="1773"/>
      <c r="J66" s="1773"/>
      <c r="K66" s="1773"/>
      <c r="L66" s="1773"/>
      <c r="M66" s="1773"/>
      <c r="N66" s="1773"/>
      <c r="O66" s="1773"/>
      <c r="P66" s="1773"/>
      <c r="Q66" s="1773"/>
      <c r="R66" s="1774"/>
      <c r="S66" s="1774"/>
      <c r="T66" s="1774"/>
      <c r="U66" s="2045">
        <f>'Pl 2016-20 PFC'!G219</f>
        <v>0</v>
      </c>
      <c r="V66" s="2045">
        <f>'Pl 2016-20 PFC'!H219</f>
        <v>0</v>
      </c>
      <c r="W66" s="2045">
        <f>'Pl 2016-20 PFC'!I219</f>
        <v>0</v>
      </c>
      <c r="X66" s="543" t="e">
        <f t="shared" si="20"/>
        <v>#VALUE!</v>
      </c>
    </row>
    <row r="67" spans="1:24">
      <c r="A67" s="544"/>
      <c r="B67" s="545" t="s">
        <v>518</v>
      </c>
      <c r="C67" s="546"/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7"/>
      <c r="S67" s="547"/>
      <c r="T67" s="547"/>
      <c r="U67" s="547" t="str">
        <f>IF(('Pl 2016-20 PFC'!G279=0),"",'Pl 2016-20 PFC'!G279)</f>
        <v/>
      </c>
      <c r="V67" s="547" t="str">
        <f>IF(('Pl 2016-20 PFC'!H279=0),"",'Pl 2016-20 PFC'!H279)</f>
        <v/>
      </c>
      <c r="W67" s="547" t="str">
        <f>IF(('Pl 2016-20 PFC'!I279=0),"",'Pl 2016-20 PFC'!I279)</f>
        <v/>
      </c>
      <c r="X67" s="543" t="e">
        <f t="shared" si="20"/>
        <v>#VALUE!</v>
      </c>
    </row>
    <row r="68" spans="1:24">
      <c r="A68" s="540"/>
      <c r="B68" s="540"/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1"/>
      <c r="V68" s="541"/>
      <c r="W68" s="541"/>
      <c r="X68" s="541"/>
    </row>
  </sheetData>
  <mergeCells count="12">
    <mergeCell ref="D2:G5"/>
    <mergeCell ref="L7:N7"/>
    <mergeCell ref="R2:U5"/>
    <mergeCell ref="O7:Q7"/>
    <mergeCell ref="R7:T7"/>
    <mergeCell ref="U7:W7"/>
    <mergeCell ref="X7:X8"/>
    <mergeCell ref="A7:A8"/>
    <mergeCell ref="B7:B8"/>
    <mergeCell ref="C7:E7"/>
    <mergeCell ref="F7:H7"/>
    <mergeCell ref="I7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0" fitToWidth="4" fitToHeight="4" orientation="portrait" r:id="rId1"/>
  <headerFooter alignWithMargins="0">
    <oddFooter>&amp;RStrona &amp;P</oddFooter>
  </headerFooter>
  <colBreaks count="2" manualBreakCount="2">
    <brk id="5" max="65" man="1"/>
    <brk id="8" max="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view="pageBreakPreview" topLeftCell="A2" zoomScaleNormal="100" zoomScaleSheetLayoutView="100" workbookViewId="0">
      <pane xSplit="3" ySplit="7" topLeftCell="D9" activePane="bottomRight" state="frozen"/>
      <selection activeCell="I3" sqref="I3:K3"/>
      <selection pane="topRight" activeCell="I3" sqref="I3:K3"/>
      <selection pane="bottomLeft" activeCell="I3" sqref="I3:K3"/>
      <selection pane="bottomRight" activeCell="I3" sqref="I3:K3"/>
    </sheetView>
  </sheetViews>
  <sheetFormatPr defaultColWidth="9" defaultRowHeight="9.6"/>
  <cols>
    <col min="1" max="1" width="0.8984375" style="1786" customWidth="1"/>
    <col min="2" max="2" width="6" style="1786" customWidth="1"/>
    <col min="3" max="3" width="24.5" style="1786" customWidth="1"/>
    <col min="4" max="4" width="15.8984375" style="1786" customWidth="1"/>
    <col min="5" max="5" width="17.19921875" style="1786" customWidth="1"/>
    <col min="6" max="11" width="10.19921875" style="1786" customWidth="1"/>
    <col min="12" max="13" width="16.19921875" style="1786" bestFit="1" customWidth="1"/>
    <col min="14" max="14" width="18.09765625" style="1786" bestFit="1" customWidth="1"/>
    <col min="15" max="15" width="9.3984375" style="1786" hidden="1" customWidth="1"/>
    <col min="16" max="16" width="10" style="1786" hidden="1" customWidth="1"/>
    <col min="17" max="17" width="7.69921875" style="1786" bestFit="1" customWidth="1"/>
    <col min="18" max="18" width="10.69921875" style="1786" customWidth="1"/>
    <col min="19" max="19" width="9" style="1786"/>
    <col min="20" max="20" width="8.69921875" style="1786" bestFit="1" customWidth="1"/>
    <col min="21" max="16384" width="9" style="1786"/>
  </cols>
  <sheetData>
    <row r="1" spans="1:20" ht="9.75" hidden="1" customHeight="1">
      <c r="B1" s="1787"/>
      <c r="C1" s="1787"/>
      <c r="D1" s="1787"/>
      <c r="E1" s="1787"/>
      <c r="F1" s="1787"/>
      <c r="G1" s="1787"/>
      <c r="H1" s="1787"/>
      <c r="I1" s="1787"/>
      <c r="J1" s="1787"/>
      <c r="K1" s="1787"/>
    </row>
    <row r="2" spans="1:20" ht="6.75" customHeight="1">
      <c r="B2" s="2288"/>
      <c r="C2" s="2288"/>
      <c r="D2" s="2288"/>
      <c r="E2" s="2288"/>
      <c r="F2" s="2288"/>
      <c r="G2" s="2288"/>
      <c r="H2" s="1788"/>
      <c r="I2" s="1788"/>
      <c r="J2" s="1788"/>
      <c r="K2" s="1788"/>
    </row>
    <row r="3" spans="1:20" ht="11.25" customHeight="1">
      <c r="B3" s="2289" t="s">
        <v>1094</v>
      </c>
      <c r="C3" s="2290"/>
      <c r="D3" s="2290"/>
      <c r="E3" s="2290"/>
      <c r="F3" s="2290"/>
      <c r="G3" s="2290"/>
      <c r="H3" s="1789"/>
      <c r="I3" s="1789"/>
      <c r="J3" s="1789"/>
      <c r="K3" s="1789"/>
    </row>
    <row r="4" spans="1:20">
      <c r="B4" s="1790"/>
      <c r="C4" s="1791"/>
      <c r="D4" s="1792"/>
      <c r="E4" s="1792"/>
      <c r="F4" s="1792"/>
      <c r="G4" s="1792"/>
      <c r="H4" s="1792"/>
      <c r="I4" s="1792"/>
      <c r="J4" s="1792"/>
      <c r="K4" s="1792"/>
    </row>
    <row r="5" spans="1:20" ht="13.2">
      <c r="B5" s="2291" t="s">
        <v>673</v>
      </c>
      <c r="C5" s="2292"/>
      <c r="D5" s="2292"/>
      <c r="E5" s="2292"/>
      <c r="F5" s="2292"/>
      <c r="G5" s="2292"/>
      <c r="H5" s="1793"/>
      <c r="I5" s="1793"/>
      <c r="J5" s="1793"/>
      <c r="K5" s="1793"/>
    </row>
    <row r="6" spans="1:20" ht="19.5" customHeight="1">
      <c r="B6" s="2286" t="s">
        <v>7</v>
      </c>
      <c r="C6" s="2286" t="s">
        <v>674</v>
      </c>
      <c r="D6" s="2286" t="s">
        <v>675</v>
      </c>
      <c r="E6" s="2294" t="s">
        <v>676</v>
      </c>
      <c r="F6" s="2295"/>
      <c r="G6" s="2296"/>
      <c r="H6" s="2294" t="s">
        <v>1104</v>
      </c>
      <c r="I6" s="2306"/>
      <c r="J6" s="2306"/>
      <c r="K6" s="2306"/>
      <c r="L6" s="2306"/>
      <c r="M6" s="2306"/>
      <c r="N6" s="2306"/>
      <c r="O6" s="2306"/>
      <c r="P6" s="2306"/>
      <c r="Q6" s="2306"/>
      <c r="R6" s="2307"/>
      <c r="S6" s="1794"/>
      <c r="T6" s="1794"/>
    </row>
    <row r="7" spans="1:20" ht="19.5" customHeight="1">
      <c r="B7" s="2293"/>
      <c r="C7" s="2293"/>
      <c r="D7" s="2293"/>
      <c r="E7" s="2308" t="s">
        <v>677</v>
      </c>
      <c r="F7" s="2286" t="s">
        <v>1095</v>
      </c>
      <c r="G7" s="2311" t="s">
        <v>977</v>
      </c>
      <c r="H7" s="2286" t="s">
        <v>1088</v>
      </c>
      <c r="I7" s="2297" t="s">
        <v>678</v>
      </c>
      <c r="J7" s="2286" t="s">
        <v>679</v>
      </c>
      <c r="K7" s="2297" t="s">
        <v>680</v>
      </c>
      <c r="L7" s="2299" t="s">
        <v>1089</v>
      </c>
      <c r="M7" s="2299" t="s">
        <v>1090</v>
      </c>
      <c r="N7" s="2299" t="s">
        <v>1091</v>
      </c>
      <c r="O7" s="2301" t="s">
        <v>681</v>
      </c>
      <c r="P7" s="1795"/>
      <c r="Q7" s="2286" t="s">
        <v>682</v>
      </c>
      <c r="R7" s="2286" t="s">
        <v>683</v>
      </c>
    </row>
    <row r="8" spans="1:20" ht="17.25" customHeight="1">
      <c r="B8" s="2287"/>
      <c r="C8" s="2287"/>
      <c r="D8" s="2287"/>
      <c r="E8" s="2309"/>
      <c r="F8" s="2310"/>
      <c r="G8" s="2312"/>
      <c r="H8" s="2287"/>
      <c r="I8" s="2298"/>
      <c r="J8" s="2287"/>
      <c r="K8" s="2298"/>
      <c r="L8" s="2300"/>
      <c r="M8" s="2300"/>
      <c r="N8" s="2300"/>
      <c r="O8" s="2302"/>
      <c r="P8" s="1796" t="s">
        <v>684</v>
      </c>
      <c r="Q8" s="2287"/>
      <c r="R8" s="2287"/>
    </row>
    <row r="9" spans="1:20" ht="12.75" customHeight="1">
      <c r="B9" s="1797">
        <v>1</v>
      </c>
      <c r="C9" s="1798">
        <v>2</v>
      </c>
      <c r="D9" s="1798">
        <v>4</v>
      </c>
      <c r="E9" s="1797">
        <v>5</v>
      </c>
      <c r="F9" s="1798">
        <v>6</v>
      </c>
      <c r="G9" s="1797">
        <v>7</v>
      </c>
      <c r="H9" s="1797">
        <v>8</v>
      </c>
      <c r="I9" s="1797"/>
      <c r="J9" s="1797">
        <v>9</v>
      </c>
      <c r="K9" s="1797"/>
      <c r="L9" s="1795">
        <v>10</v>
      </c>
      <c r="M9" s="1795">
        <v>10</v>
      </c>
      <c r="N9" s="1795">
        <v>10</v>
      </c>
      <c r="O9" s="1795">
        <v>10</v>
      </c>
      <c r="P9" s="1799">
        <v>11</v>
      </c>
      <c r="Q9" s="1795">
        <v>11</v>
      </c>
      <c r="R9" s="1795">
        <v>12</v>
      </c>
    </row>
    <row r="10" spans="1:20" ht="13.2">
      <c r="A10" s="1789"/>
      <c r="B10" s="2303"/>
      <c r="C10" s="2304"/>
      <c r="D10" s="2304"/>
      <c r="E10" s="2304"/>
      <c r="F10" s="2304"/>
      <c r="G10" s="2304"/>
      <c r="H10" s="1800"/>
      <c r="I10" s="1800"/>
      <c r="J10" s="1800"/>
      <c r="K10" s="1800"/>
      <c r="L10" s="1801"/>
      <c r="M10" s="1801"/>
      <c r="N10" s="1801"/>
      <c r="O10" s="1796"/>
      <c r="P10" s="1796"/>
      <c r="Q10" s="1801"/>
      <c r="R10" s="1801"/>
    </row>
    <row r="11" spans="1:20" ht="34.5" customHeight="1">
      <c r="A11" s="1789"/>
      <c r="B11" s="1798"/>
      <c r="C11" s="1802" t="s">
        <v>685</v>
      </c>
      <c r="D11" s="1796"/>
      <c r="E11" s="1796"/>
      <c r="F11" s="1885">
        <f>SUM(F35,F99)</f>
        <v>1052922</v>
      </c>
      <c r="G11" s="1884">
        <f>SUM(G35,G99)</f>
        <v>1059941</v>
      </c>
      <c r="H11" s="1803" t="e">
        <f>J11+R11</f>
        <v>#VALUE!</v>
      </c>
      <c r="I11" s="1804" t="e">
        <f>K11+Q11+N11</f>
        <v>#VALUE!</v>
      </c>
      <c r="J11" s="1803">
        <f>('Plan 2014-17 Wydatki'!U50+'Plan 2014-17 Wydatki'!U54)/1000</f>
        <v>339464</v>
      </c>
      <c r="K11" s="1804">
        <f>J11-'[1]Pl 2014-17 PFC MF'!J56-'[1]Pl 2014-17 PFC MF'!J54</f>
        <v>123474</v>
      </c>
      <c r="L11" s="1803" t="e">
        <f>L35+L99</f>
        <v>#VALUE!</v>
      </c>
      <c r="M11" s="1805"/>
      <c r="N11" s="1803" t="e">
        <f>N35+N99</f>
        <v>#VALUE!</v>
      </c>
      <c r="O11" s="1806"/>
      <c r="P11" s="1806"/>
      <c r="Q11" s="1886">
        <f>'Plan 2014-17 Wydatki'!U59/1000</f>
        <v>45489</v>
      </c>
      <c r="R11" s="1803" t="e">
        <f>SUM(N11:Q11)</f>
        <v>#VALUE!</v>
      </c>
    </row>
    <row r="12" spans="1:20" ht="107.25" hidden="1" customHeight="1">
      <c r="A12" s="1789"/>
      <c r="B12" s="1798" t="s">
        <v>686</v>
      </c>
      <c r="C12" s="1798" t="s">
        <v>687</v>
      </c>
      <c r="D12" s="1798" t="s">
        <v>688</v>
      </c>
      <c r="E12" s="1798" t="s">
        <v>689</v>
      </c>
      <c r="F12" s="1807" t="s">
        <v>690</v>
      </c>
      <c r="G12" s="1807" t="s">
        <v>691</v>
      </c>
      <c r="H12" s="1808"/>
      <c r="I12" s="1809"/>
      <c r="J12" s="1808"/>
      <c r="K12" s="1809"/>
      <c r="L12" s="1806"/>
      <c r="M12" s="1810"/>
      <c r="N12" s="1806"/>
      <c r="O12" s="1806"/>
      <c r="P12" s="1806"/>
      <c r="Q12" s="1811"/>
      <c r="R12" s="1811"/>
    </row>
    <row r="13" spans="1:20" ht="39" hidden="1" customHeight="1">
      <c r="A13" s="1789"/>
      <c r="B13" s="1798" t="s">
        <v>692</v>
      </c>
      <c r="C13" s="1798" t="s">
        <v>693</v>
      </c>
      <c r="D13" s="1798" t="s">
        <v>694</v>
      </c>
      <c r="E13" s="1798" t="s">
        <v>695</v>
      </c>
      <c r="F13" s="1807" t="s">
        <v>696</v>
      </c>
      <c r="G13" s="1807" t="s">
        <v>697</v>
      </c>
      <c r="H13" s="1808"/>
      <c r="I13" s="1809"/>
      <c r="J13" s="1808"/>
      <c r="K13" s="1809"/>
      <c r="L13" s="1806"/>
      <c r="M13" s="1810"/>
      <c r="N13" s="1806"/>
      <c r="O13" s="1806"/>
      <c r="P13" s="1806"/>
      <c r="Q13" s="1811"/>
      <c r="R13" s="1811"/>
    </row>
    <row r="14" spans="1:20" ht="12.75" hidden="1" customHeight="1">
      <c r="A14" s="1789"/>
      <c r="B14" s="1798" t="s">
        <v>698</v>
      </c>
      <c r="C14" s="1798" t="s">
        <v>699</v>
      </c>
      <c r="D14" s="1798"/>
      <c r="E14" s="1798"/>
      <c r="F14" s="1807"/>
      <c r="G14" s="1807"/>
      <c r="H14" s="1808"/>
      <c r="I14" s="1809"/>
      <c r="J14" s="1808"/>
      <c r="K14" s="1809"/>
      <c r="L14" s="1806"/>
      <c r="M14" s="1810"/>
      <c r="N14" s="1806"/>
      <c r="O14" s="1806"/>
      <c r="P14" s="1806"/>
      <c r="Q14" s="1811"/>
      <c r="R14" s="1811"/>
    </row>
    <row r="15" spans="1:20" ht="19.5" hidden="1" customHeight="1">
      <c r="A15" s="1789"/>
      <c r="B15" s="1798" t="s">
        <v>700</v>
      </c>
      <c r="C15" s="1798" t="s">
        <v>701</v>
      </c>
      <c r="D15" s="1798"/>
      <c r="E15" s="1798"/>
      <c r="F15" s="1807"/>
      <c r="G15" s="1807"/>
      <c r="H15" s="1808"/>
      <c r="I15" s="1809"/>
      <c r="J15" s="1808"/>
      <c r="K15" s="1809"/>
      <c r="L15" s="1806"/>
      <c r="M15" s="1810"/>
      <c r="N15" s="1806"/>
      <c r="O15" s="1806"/>
      <c r="P15" s="1806"/>
      <c r="Q15" s="1811"/>
      <c r="R15" s="1811"/>
    </row>
    <row r="16" spans="1:20" ht="19.5" hidden="1" customHeight="1">
      <c r="A16" s="1789"/>
      <c r="B16" s="1798" t="s">
        <v>702</v>
      </c>
      <c r="C16" s="1798" t="s">
        <v>703</v>
      </c>
      <c r="D16" s="1798"/>
      <c r="E16" s="1798"/>
      <c r="F16" s="1807"/>
      <c r="G16" s="1807"/>
      <c r="H16" s="1808"/>
      <c r="I16" s="1809"/>
      <c r="J16" s="1808"/>
      <c r="K16" s="1809"/>
      <c r="L16" s="1806"/>
      <c r="M16" s="1810"/>
      <c r="N16" s="1806"/>
      <c r="O16" s="1806"/>
      <c r="P16" s="1806"/>
      <c r="Q16" s="1811"/>
      <c r="R16" s="1811"/>
    </row>
    <row r="17" spans="1:18" ht="19.5" hidden="1" customHeight="1">
      <c r="A17" s="1789"/>
      <c r="B17" s="1798" t="s">
        <v>704</v>
      </c>
      <c r="C17" s="1798" t="s">
        <v>705</v>
      </c>
      <c r="D17" s="1798"/>
      <c r="E17" s="1798"/>
      <c r="F17" s="1807"/>
      <c r="G17" s="1807"/>
      <c r="H17" s="1808"/>
      <c r="I17" s="1809"/>
      <c r="J17" s="1808"/>
      <c r="K17" s="1809"/>
      <c r="L17" s="1806"/>
      <c r="M17" s="1810"/>
      <c r="N17" s="1806"/>
      <c r="O17" s="1806"/>
      <c r="P17" s="1806"/>
      <c r="Q17" s="1811"/>
      <c r="R17" s="1811"/>
    </row>
    <row r="18" spans="1:18" ht="12.75" hidden="1" customHeight="1">
      <c r="A18" s="1789"/>
      <c r="B18" s="1798" t="s">
        <v>706</v>
      </c>
      <c r="C18" s="1798" t="s">
        <v>707</v>
      </c>
      <c r="D18" s="1798"/>
      <c r="E18" s="1798"/>
      <c r="F18" s="1807"/>
      <c r="G18" s="1807"/>
      <c r="H18" s="1808"/>
      <c r="I18" s="1809"/>
      <c r="J18" s="1808"/>
      <c r="K18" s="1809"/>
      <c r="L18" s="1806"/>
      <c r="M18" s="1810"/>
      <c r="N18" s="1806"/>
      <c r="O18" s="1806"/>
      <c r="P18" s="1806"/>
      <c r="Q18" s="1811"/>
      <c r="R18" s="1811"/>
    </row>
    <row r="19" spans="1:18" ht="29.25" hidden="1" customHeight="1">
      <c r="A19" s="1789"/>
      <c r="B19" s="1798" t="s">
        <v>708</v>
      </c>
      <c r="C19" s="1798" t="s">
        <v>709</v>
      </c>
      <c r="D19" s="1798"/>
      <c r="E19" s="1798"/>
      <c r="F19" s="1807"/>
      <c r="G19" s="1807"/>
      <c r="H19" s="1808"/>
      <c r="I19" s="1809"/>
      <c r="J19" s="1808"/>
      <c r="K19" s="1809"/>
      <c r="L19" s="1806"/>
      <c r="M19" s="1810"/>
      <c r="N19" s="1806"/>
      <c r="O19" s="1806"/>
      <c r="P19" s="1806"/>
      <c r="Q19" s="1811"/>
      <c r="R19" s="1811"/>
    </row>
    <row r="20" spans="1:18" ht="48.75" hidden="1" customHeight="1">
      <c r="A20" s="1789"/>
      <c r="B20" s="1798" t="s">
        <v>710</v>
      </c>
      <c r="C20" s="1798" t="s">
        <v>711</v>
      </c>
      <c r="D20" s="1798" t="s">
        <v>712</v>
      </c>
      <c r="E20" s="1798" t="s">
        <v>713</v>
      </c>
      <c r="F20" s="1807" t="s">
        <v>714</v>
      </c>
      <c r="G20" s="1807" t="s">
        <v>715</v>
      </c>
      <c r="H20" s="1808"/>
      <c r="I20" s="1809"/>
      <c r="J20" s="1808"/>
      <c r="K20" s="1809"/>
      <c r="L20" s="1806"/>
      <c r="M20" s="1810"/>
      <c r="N20" s="1806"/>
      <c r="O20" s="1806"/>
      <c r="P20" s="1806"/>
      <c r="Q20" s="1811"/>
      <c r="R20" s="1811"/>
    </row>
    <row r="21" spans="1:18" ht="39" hidden="1" customHeight="1">
      <c r="A21" s="1789"/>
      <c r="B21" s="1798" t="s">
        <v>716</v>
      </c>
      <c r="C21" s="1798" t="s">
        <v>717</v>
      </c>
      <c r="D21" s="1798"/>
      <c r="E21" s="1798"/>
      <c r="F21" s="1807"/>
      <c r="G21" s="1807"/>
      <c r="H21" s="1808"/>
      <c r="I21" s="1809"/>
      <c r="J21" s="1808"/>
      <c r="K21" s="1809"/>
      <c r="L21" s="1806"/>
      <c r="M21" s="1810"/>
      <c r="N21" s="1806"/>
      <c r="O21" s="1806"/>
      <c r="P21" s="1806"/>
      <c r="Q21" s="1811"/>
      <c r="R21" s="1811"/>
    </row>
    <row r="22" spans="1:18" ht="48.75" hidden="1" customHeight="1">
      <c r="A22" s="1789"/>
      <c r="B22" s="1798" t="s">
        <v>718</v>
      </c>
      <c r="C22" s="1798" t="s">
        <v>719</v>
      </c>
      <c r="D22" s="1798"/>
      <c r="E22" s="1798"/>
      <c r="F22" s="1807"/>
      <c r="G22" s="1807"/>
      <c r="H22" s="1808"/>
      <c r="I22" s="1809"/>
      <c r="J22" s="1808"/>
      <c r="K22" s="1809"/>
      <c r="L22" s="1806"/>
      <c r="M22" s="1810"/>
      <c r="N22" s="1806"/>
      <c r="O22" s="1806"/>
      <c r="P22" s="1806"/>
      <c r="Q22" s="1811"/>
      <c r="R22" s="1811"/>
    </row>
    <row r="23" spans="1:18" ht="58.5" hidden="1" customHeight="1">
      <c r="A23" s="1789"/>
      <c r="B23" s="1798" t="s">
        <v>720</v>
      </c>
      <c r="C23" s="1798" t="s">
        <v>721</v>
      </c>
      <c r="D23" s="1798"/>
      <c r="E23" s="1798"/>
      <c r="F23" s="1807"/>
      <c r="G23" s="1807"/>
      <c r="H23" s="1808"/>
      <c r="I23" s="1809"/>
      <c r="J23" s="1808"/>
      <c r="K23" s="1809"/>
      <c r="L23" s="1806"/>
      <c r="M23" s="1810"/>
      <c r="N23" s="1806"/>
      <c r="O23" s="1806"/>
      <c r="P23" s="1806"/>
      <c r="Q23" s="1811"/>
      <c r="R23" s="1811"/>
    </row>
    <row r="24" spans="1:18" ht="19.5" hidden="1" customHeight="1">
      <c r="A24" s="1789"/>
      <c r="B24" s="1798" t="s">
        <v>722</v>
      </c>
      <c r="C24" s="1798" t="s">
        <v>723</v>
      </c>
      <c r="D24" s="1798"/>
      <c r="E24" s="1798"/>
      <c r="F24" s="1807"/>
      <c r="G24" s="1807"/>
      <c r="H24" s="1808"/>
      <c r="I24" s="1809"/>
      <c r="J24" s="1808"/>
      <c r="K24" s="1809"/>
      <c r="L24" s="1806"/>
      <c r="M24" s="1810"/>
      <c r="N24" s="1806"/>
      <c r="O24" s="1806"/>
      <c r="P24" s="1806"/>
      <c r="Q24" s="1811"/>
      <c r="R24" s="1811"/>
    </row>
    <row r="25" spans="1:18" ht="29.25" hidden="1" customHeight="1">
      <c r="A25" s="1789"/>
      <c r="B25" s="1798" t="s">
        <v>724</v>
      </c>
      <c r="C25" s="1798" t="s">
        <v>725</v>
      </c>
      <c r="D25" s="1798"/>
      <c r="E25" s="1798"/>
      <c r="F25" s="1807"/>
      <c r="G25" s="1807"/>
      <c r="H25" s="1808"/>
      <c r="I25" s="1809"/>
      <c r="J25" s="1808"/>
      <c r="K25" s="1809"/>
      <c r="L25" s="1806"/>
      <c r="M25" s="1810"/>
      <c r="N25" s="1806"/>
      <c r="O25" s="1806"/>
      <c r="P25" s="1806"/>
      <c r="Q25" s="1811"/>
      <c r="R25" s="1811"/>
    </row>
    <row r="26" spans="1:18" ht="39" hidden="1" customHeight="1">
      <c r="A26" s="1789"/>
      <c r="B26" s="1798" t="s">
        <v>726</v>
      </c>
      <c r="C26" s="1798" t="s">
        <v>727</v>
      </c>
      <c r="D26" s="1798" t="s">
        <v>728</v>
      </c>
      <c r="E26" s="1798" t="s">
        <v>729</v>
      </c>
      <c r="F26" s="1807" t="s">
        <v>730</v>
      </c>
      <c r="G26" s="1807" t="s">
        <v>731</v>
      </c>
      <c r="H26" s="1808"/>
      <c r="I26" s="1809"/>
      <c r="J26" s="1808"/>
      <c r="K26" s="1809"/>
      <c r="L26" s="1806"/>
      <c r="M26" s="1810"/>
      <c r="N26" s="1806"/>
      <c r="O26" s="1806"/>
      <c r="P26" s="1806"/>
      <c r="Q26" s="1811"/>
      <c r="R26" s="1811"/>
    </row>
    <row r="27" spans="1:18" ht="19.5" hidden="1" customHeight="1">
      <c r="A27" s="1789"/>
      <c r="B27" s="1798" t="s">
        <v>732</v>
      </c>
      <c r="C27" s="1798" t="s">
        <v>733</v>
      </c>
      <c r="D27" s="1798"/>
      <c r="E27" s="1798"/>
      <c r="F27" s="1807"/>
      <c r="G27" s="1807"/>
      <c r="H27" s="1808"/>
      <c r="I27" s="1809"/>
      <c r="J27" s="1808"/>
      <c r="K27" s="1809"/>
      <c r="L27" s="1806"/>
      <c r="M27" s="1810"/>
      <c r="N27" s="1806"/>
      <c r="O27" s="1806"/>
      <c r="P27" s="1806"/>
      <c r="Q27" s="1811"/>
      <c r="R27" s="1811"/>
    </row>
    <row r="28" spans="1:18" ht="58.5" hidden="1" customHeight="1">
      <c r="A28" s="1789"/>
      <c r="B28" s="1798" t="s">
        <v>734</v>
      </c>
      <c r="C28" s="1798" t="s">
        <v>735</v>
      </c>
      <c r="D28" s="1798"/>
      <c r="E28" s="1798"/>
      <c r="F28" s="1807"/>
      <c r="G28" s="1807"/>
      <c r="H28" s="1808"/>
      <c r="I28" s="1809"/>
      <c r="J28" s="1808"/>
      <c r="K28" s="1809"/>
      <c r="L28" s="1806"/>
      <c r="M28" s="1810"/>
      <c r="N28" s="1806"/>
      <c r="O28" s="1806"/>
      <c r="P28" s="1806"/>
      <c r="Q28" s="1811"/>
      <c r="R28" s="1811"/>
    </row>
    <row r="29" spans="1:18" ht="19.5" hidden="1" customHeight="1">
      <c r="A29" s="1789"/>
      <c r="B29" s="1798" t="s">
        <v>736</v>
      </c>
      <c r="C29" s="1798" t="s">
        <v>737</v>
      </c>
      <c r="D29" s="1798"/>
      <c r="E29" s="1798"/>
      <c r="F29" s="1807"/>
      <c r="G29" s="1807"/>
      <c r="H29" s="1808"/>
      <c r="I29" s="1809"/>
      <c r="J29" s="1808"/>
      <c r="K29" s="1809"/>
      <c r="L29" s="1806"/>
      <c r="M29" s="1810"/>
      <c r="N29" s="1806"/>
      <c r="O29" s="1806"/>
      <c r="P29" s="1806"/>
      <c r="Q29" s="1811"/>
      <c r="R29" s="1811"/>
    </row>
    <row r="30" spans="1:18" ht="58.5" hidden="1" customHeight="1">
      <c r="A30" s="1789"/>
      <c r="B30" s="1798" t="s">
        <v>738</v>
      </c>
      <c r="C30" s="1798" t="s">
        <v>739</v>
      </c>
      <c r="D30" s="1798" t="s">
        <v>740</v>
      </c>
      <c r="E30" s="1798" t="s">
        <v>741</v>
      </c>
      <c r="F30" s="1807" t="s">
        <v>742</v>
      </c>
      <c r="G30" s="1807" t="s">
        <v>743</v>
      </c>
      <c r="H30" s="1808"/>
      <c r="I30" s="1809"/>
      <c r="J30" s="1808"/>
      <c r="K30" s="1809"/>
      <c r="L30" s="1806"/>
      <c r="M30" s="1810"/>
      <c r="N30" s="1806"/>
      <c r="O30" s="1806"/>
      <c r="P30" s="1806"/>
      <c r="Q30" s="1811"/>
      <c r="R30" s="1811"/>
    </row>
    <row r="31" spans="1:18" ht="39" hidden="1" customHeight="1">
      <c r="A31" s="1789"/>
      <c r="B31" s="1798" t="s">
        <v>744</v>
      </c>
      <c r="C31" s="1798" t="s">
        <v>745</v>
      </c>
      <c r="D31" s="1798"/>
      <c r="E31" s="1798"/>
      <c r="F31" s="1807"/>
      <c r="G31" s="1807"/>
      <c r="H31" s="1808"/>
      <c r="I31" s="1809"/>
      <c r="J31" s="1808"/>
      <c r="K31" s="1809"/>
      <c r="L31" s="1806"/>
      <c r="M31" s="1810"/>
      <c r="N31" s="1806"/>
      <c r="O31" s="1806"/>
      <c r="P31" s="1806"/>
      <c r="Q31" s="1811"/>
      <c r="R31" s="1811"/>
    </row>
    <row r="32" spans="1:18" ht="12.75" hidden="1" customHeight="1">
      <c r="A32" s="1789"/>
      <c r="B32" s="1798" t="s">
        <v>746</v>
      </c>
      <c r="C32" s="1798" t="s">
        <v>747</v>
      </c>
      <c r="D32" s="1798"/>
      <c r="E32" s="1798"/>
      <c r="F32" s="1807"/>
      <c r="G32" s="1807"/>
      <c r="H32" s="1808"/>
      <c r="I32" s="1809"/>
      <c r="J32" s="1808"/>
      <c r="K32" s="1809"/>
      <c r="L32" s="1806"/>
      <c r="M32" s="1810"/>
      <c r="N32" s="1806"/>
      <c r="O32" s="1806"/>
      <c r="P32" s="1806"/>
      <c r="Q32" s="1811"/>
      <c r="R32" s="1811"/>
    </row>
    <row r="33" spans="1:22" ht="29.25" hidden="1" customHeight="1">
      <c r="A33" s="1789"/>
      <c r="B33" s="1798" t="s">
        <v>748</v>
      </c>
      <c r="C33" s="1798" t="s">
        <v>749</v>
      </c>
      <c r="D33" s="1798"/>
      <c r="E33" s="1798"/>
      <c r="F33" s="1807"/>
      <c r="G33" s="1807"/>
      <c r="H33" s="1808"/>
      <c r="I33" s="1809"/>
      <c r="J33" s="1808"/>
      <c r="K33" s="1809"/>
      <c r="L33" s="1806"/>
      <c r="M33" s="1810"/>
      <c r="N33" s="1806"/>
      <c r="O33" s="1806"/>
      <c r="P33" s="1806"/>
      <c r="Q33" s="1811"/>
      <c r="R33" s="1811"/>
    </row>
    <row r="34" spans="1:22" ht="19.5" hidden="1" customHeight="1">
      <c r="A34" s="1789"/>
      <c r="B34" s="1798" t="s">
        <v>750</v>
      </c>
      <c r="C34" s="1798" t="s">
        <v>751</v>
      </c>
      <c r="D34" s="1798"/>
      <c r="E34" s="1798"/>
      <c r="F34" s="1807"/>
      <c r="G34" s="1807"/>
      <c r="H34" s="1808"/>
      <c r="I34" s="1809"/>
      <c r="J34" s="1808"/>
      <c r="K34" s="1809"/>
      <c r="L34" s="1806"/>
      <c r="M34" s="1810"/>
      <c r="N34" s="1806"/>
      <c r="O34" s="1806"/>
      <c r="P34" s="1806"/>
      <c r="Q34" s="1811"/>
      <c r="R34" s="1811"/>
    </row>
    <row r="35" spans="1:22" ht="62.25" customHeight="1">
      <c r="A35" s="1789"/>
      <c r="B35" s="1812" t="s">
        <v>686</v>
      </c>
      <c r="C35" s="1813" t="s">
        <v>687</v>
      </c>
      <c r="D35" s="1814" t="s">
        <v>1096</v>
      </c>
      <c r="E35" s="1814" t="s">
        <v>1097</v>
      </c>
      <c r="F35" s="1882">
        <f>SUM(F40,F43:F46,F48)</f>
        <v>652430</v>
      </c>
      <c r="G35" s="1882">
        <f>SUM(G40,G43:G46,G48)</f>
        <v>666154</v>
      </c>
      <c r="H35" s="1815" t="e">
        <f>J35+R35</f>
        <v>#VALUE!</v>
      </c>
      <c r="I35" s="1816" t="e">
        <f>K35+Q35+N35</f>
        <v>#VALUE!</v>
      </c>
      <c r="J35" s="1815">
        <f>J11*25%</f>
        <v>84866</v>
      </c>
      <c r="K35" s="1816">
        <f>K11*25%</f>
        <v>30868.5</v>
      </c>
      <c r="L35" s="1815" t="e">
        <f>SUM(L36)</f>
        <v>#VALUE!</v>
      </c>
      <c r="M35" s="1805"/>
      <c r="N35" s="1815" t="e">
        <f>SUM(N36)</f>
        <v>#VALUE!</v>
      </c>
      <c r="O35" s="1806"/>
      <c r="P35" s="1806"/>
      <c r="Q35" s="1815">
        <f>Q11*25%</f>
        <v>11372.25</v>
      </c>
      <c r="R35" s="1815" t="e">
        <f>SUM(N35:Q35)</f>
        <v>#VALUE!</v>
      </c>
      <c r="S35" s="1817" t="e">
        <f>L35*100/L11</f>
        <v>#VALUE!</v>
      </c>
      <c r="T35" s="1817" t="e">
        <f>R35*100/R11</f>
        <v>#VALUE!</v>
      </c>
      <c r="U35" s="1811">
        <f>SUM(J35,J99)</f>
        <v>339464</v>
      </c>
      <c r="V35" s="1811">
        <f>SUM(Q35,Q99)</f>
        <v>45489</v>
      </c>
    </row>
    <row r="36" spans="1:22" ht="57.6">
      <c r="A36" s="1789"/>
      <c r="B36" s="1818" t="s">
        <v>726</v>
      </c>
      <c r="C36" s="1818" t="s">
        <v>1098</v>
      </c>
      <c r="D36" s="1818" t="s">
        <v>752</v>
      </c>
      <c r="E36" s="1819" t="s">
        <v>753</v>
      </c>
      <c r="F36" s="1880">
        <f>SUM(F37,F42,F100)</f>
        <v>1052922</v>
      </c>
      <c r="G36" s="1881">
        <f>SUM(G37,G42,G100)</f>
        <v>1059941</v>
      </c>
      <c r="H36" s="1821" t="e">
        <f>J36+R36</f>
        <v>#VALUE!</v>
      </c>
      <c r="I36" s="1816" t="e">
        <f>K36+Q36+N36</f>
        <v>#VALUE!</v>
      </c>
      <c r="J36" s="1821">
        <f>J11*25%</f>
        <v>84866</v>
      </c>
      <c r="K36" s="1816">
        <f>K11*25%</f>
        <v>30868.5</v>
      </c>
      <c r="L36" s="1821" t="e">
        <f>SUM(L37+L42+L92)</f>
        <v>#VALUE!</v>
      </c>
      <c r="M36" s="1805"/>
      <c r="N36" s="1821" t="e">
        <f>SUM(N37+N42+N92)</f>
        <v>#VALUE!</v>
      </c>
      <c r="O36" s="1806"/>
      <c r="P36" s="1806"/>
      <c r="Q36" s="1821">
        <f>Q11*25%</f>
        <v>11372.25</v>
      </c>
      <c r="R36" s="1821" t="e">
        <f>SUM(N36:Q36)</f>
        <v>#VALUE!</v>
      </c>
      <c r="S36" s="1817" t="e">
        <f>L36*100/L11</f>
        <v>#VALUE!</v>
      </c>
      <c r="T36" s="1817" t="e">
        <f>R36*100/R11</f>
        <v>#VALUE!</v>
      </c>
      <c r="U36" s="1811">
        <f>SUM(J37,J42,J92)</f>
        <v>84866</v>
      </c>
      <c r="V36" s="1811">
        <f>SUM(Q37,Q42,Q92)</f>
        <v>11371.25</v>
      </c>
    </row>
    <row r="37" spans="1:22" ht="56.25" customHeight="1">
      <c r="A37" s="1789"/>
      <c r="B37" s="1822" t="s">
        <v>732</v>
      </c>
      <c r="C37" s="1823" t="s">
        <v>754</v>
      </c>
      <c r="D37" s="1822" t="s">
        <v>755</v>
      </c>
      <c r="E37" s="1824" t="s">
        <v>756</v>
      </c>
      <c r="F37" s="1877">
        <f>SUM(F40)</f>
        <v>499848</v>
      </c>
      <c r="G37" s="1879">
        <f>SUM(G40)</f>
        <v>549138</v>
      </c>
      <c r="H37" s="1825">
        <f>J37+R37+1</f>
        <v>837083.01</v>
      </c>
      <c r="I37" s="1816">
        <f>K37+Q37+N37+1</f>
        <v>800364.71</v>
      </c>
      <c r="J37" s="1825">
        <f>J11*17%</f>
        <v>57708.880000000005</v>
      </c>
      <c r="K37" s="1816">
        <f>K11*17%</f>
        <v>20990.58</v>
      </c>
      <c r="L37" s="1825">
        <f>SUM(L38:L41)</f>
        <v>771641</v>
      </c>
      <c r="M37" s="1805"/>
      <c r="N37" s="1825">
        <f>SUM(N38:N41)</f>
        <v>771641</v>
      </c>
      <c r="O37" s="1826"/>
      <c r="P37" s="1826"/>
      <c r="Q37" s="1825">
        <f>Q11*17%-1</f>
        <v>7732.13</v>
      </c>
      <c r="R37" s="1825">
        <f>SUM(N37:Q37)</f>
        <v>779373.13</v>
      </c>
      <c r="S37" s="1817" t="e">
        <f>L37*100/L11</f>
        <v>#VALUE!</v>
      </c>
      <c r="T37" s="1817" t="e">
        <f>R37*100/R11</f>
        <v>#VALUE!</v>
      </c>
    </row>
    <row r="38" spans="1:22" ht="41.25" customHeight="1">
      <c r="A38" s="1789"/>
      <c r="B38" s="1827"/>
      <c r="C38" s="1827" t="s">
        <v>757</v>
      </c>
      <c r="D38" s="1827"/>
      <c r="E38" s="1827"/>
      <c r="F38" s="1807">
        <v>1106</v>
      </c>
      <c r="G38" s="1807">
        <v>1160</v>
      </c>
      <c r="H38" s="1808"/>
      <c r="I38" s="1809"/>
      <c r="J38" s="1808"/>
      <c r="K38" s="1809"/>
      <c r="L38" s="1828">
        <v>74634</v>
      </c>
      <c r="M38" s="1829">
        <f>('Plan 2014-17 Wydatki'!V14*90%)/1000</f>
        <v>0</v>
      </c>
      <c r="N38" s="1830">
        <f>SUM(L38:M38)</f>
        <v>74634</v>
      </c>
      <c r="O38" s="1806"/>
      <c r="P38" s="1806"/>
      <c r="Q38" s="1806"/>
      <c r="R38" s="1806"/>
    </row>
    <row r="39" spans="1:22" ht="41.25" customHeight="1">
      <c r="A39" s="1789"/>
      <c r="B39" s="1827"/>
      <c r="C39" s="1827" t="s">
        <v>758</v>
      </c>
      <c r="D39" s="1827"/>
      <c r="E39" s="1827"/>
      <c r="F39" s="1807">
        <v>0</v>
      </c>
      <c r="G39" s="1807">
        <v>0</v>
      </c>
      <c r="H39" s="1808"/>
      <c r="I39" s="1809"/>
      <c r="J39" s="1808"/>
      <c r="K39" s="1809"/>
      <c r="L39" s="1828">
        <v>1866</v>
      </c>
      <c r="M39" s="1829">
        <f>('Plan 2014-17 Wydatki'!V15*90%)/1000</f>
        <v>0</v>
      </c>
      <c r="N39" s="1830">
        <f>SUM(L39:M39)</f>
        <v>1866</v>
      </c>
      <c r="O39" s="1806"/>
      <c r="P39" s="1806"/>
      <c r="Q39" s="1806"/>
      <c r="R39" s="1806"/>
      <c r="V39" s="1811"/>
    </row>
    <row r="40" spans="1:22" ht="41.25" customHeight="1">
      <c r="A40" s="1789"/>
      <c r="B40" s="1827"/>
      <c r="C40" s="1827" t="s">
        <v>759</v>
      </c>
      <c r="D40" s="1827"/>
      <c r="E40" s="1831"/>
      <c r="F40" s="1807">
        <v>499848</v>
      </c>
      <c r="G40" s="1807">
        <v>549138</v>
      </c>
      <c r="H40" s="1808"/>
      <c r="I40" s="1809"/>
      <c r="J40" s="1808"/>
      <c r="K40" s="1809"/>
      <c r="L40" s="1828">
        <v>678186</v>
      </c>
      <c r="M40" s="1829">
        <f>('Plan 2014-17 Wydatki'!V17*90%)/1000</f>
        <v>0</v>
      </c>
      <c r="N40" s="1830">
        <f>SUM(L40:M40)</f>
        <v>678186</v>
      </c>
      <c r="O40" s="1806"/>
      <c r="P40" s="1806"/>
      <c r="Q40" s="1806"/>
      <c r="R40" s="1806"/>
    </row>
    <row r="41" spans="1:22" ht="41.25" customHeight="1">
      <c r="A41" s="1789"/>
      <c r="B41" s="1827"/>
      <c r="C41" s="1827" t="s">
        <v>760</v>
      </c>
      <c r="D41" s="1827"/>
      <c r="E41" s="1827"/>
      <c r="F41" s="1807">
        <v>0</v>
      </c>
      <c r="G41" s="1807">
        <v>0</v>
      </c>
      <c r="H41" s="1808"/>
      <c r="I41" s="1809"/>
      <c r="J41" s="1808"/>
      <c r="K41" s="1809"/>
      <c r="L41" s="1828">
        <v>16955</v>
      </c>
      <c r="M41" s="1829">
        <f>('Plan 2014-17 Wydatki'!V18*90%)/1000</f>
        <v>0</v>
      </c>
      <c r="N41" s="1830">
        <f>SUM(L41:M41)</f>
        <v>16955</v>
      </c>
      <c r="O41" s="1806"/>
      <c r="P41" s="1806"/>
      <c r="Q41" s="1806"/>
      <c r="R41" s="1806"/>
    </row>
    <row r="42" spans="1:22" ht="48">
      <c r="A42" s="1789"/>
      <c r="B42" s="1822" t="s">
        <v>734</v>
      </c>
      <c r="C42" s="1823" t="s">
        <v>761</v>
      </c>
      <c r="D42" s="1822" t="s">
        <v>762</v>
      </c>
      <c r="E42" s="1824" t="s">
        <v>763</v>
      </c>
      <c r="F42" s="1877">
        <f>SUM(F43:F48)</f>
        <v>152582</v>
      </c>
      <c r="G42" s="1877">
        <f>SUM(G43:G48)</f>
        <v>117016</v>
      </c>
      <c r="H42" s="1825">
        <f>J42+R42</f>
        <v>170793.12</v>
      </c>
      <c r="I42" s="1816">
        <f>K42+Q42+N42</f>
        <v>162153.51999999999</v>
      </c>
      <c r="J42" s="1825">
        <f>J11*4%</f>
        <v>13578.56</v>
      </c>
      <c r="K42" s="1816">
        <f>K11*4%</f>
        <v>4938.96</v>
      </c>
      <c r="L42" s="1825">
        <f>SUM(L43:L48)</f>
        <v>155395</v>
      </c>
      <c r="M42" s="1805"/>
      <c r="N42" s="1825">
        <f>SUM(N43:N48)</f>
        <v>155395</v>
      </c>
      <c r="O42" s="1826"/>
      <c r="P42" s="1826"/>
      <c r="Q42" s="1825">
        <f>Q11*4%</f>
        <v>1819.56</v>
      </c>
      <c r="R42" s="1825">
        <f>SUM(N42:Q42)</f>
        <v>157214.56</v>
      </c>
      <c r="S42" s="1817" t="e">
        <f>L42*100/L11</f>
        <v>#VALUE!</v>
      </c>
      <c r="T42" s="1817" t="e">
        <f>R42*100/R11</f>
        <v>#VALUE!</v>
      </c>
    </row>
    <row r="43" spans="1:22" ht="41.25" customHeight="1">
      <c r="A43" s="1789"/>
      <c r="B43" s="1827"/>
      <c r="C43" s="1827" t="s">
        <v>764</v>
      </c>
      <c r="D43" s="1827"/>
      <c r="E43" s="1827"/>
      <c r="F43" s="1807">
        <v>120101</v>
      </c>
      <c r="G43" s="1820">
        <v>90000</v>
      </c>
      <c r="H43" s="1808"/>
      <c r="I43" s="1809"/>
      <c r="J43" s="1808"/>
      <c r="K43" s="1809"/>
      <c r="L43" s="1832">
        <f>'Plan 2014-17 Wydatki'!U21/1000</f>
        <v>49500</v>
      </c>
      <c r="M43" s="1832">
        <f>'Plan 2014-17 Wydatki'!V21/1000</f>
        <v>0</v>
      </c>
      <c r="N43" s="1832">
        <f>SUM(L43:M43)</f>
        <v>49500</v>
      </c>
      <c r="O43" s="1806"/>
      <c r="P43" s="1806"/>
      <c r="Q43" s="1806"/>
      <c r="R43" s="1806"/>
    </row>
    <row r="44" spans="1:22" ht="41.25" customHeight="1">
      <c r="A44" s="1789"/>
      <c r="B44" s="1827"/>
      <c r="C44" s="1827" t="s">
        <v>766</v>
      </c>
      <c r="D44" s="1827"/>
      <c r="E44" s="1827"/>
      <c r="F44" s="1807">
        <v>1</v>
      </c>
      <c r="G44" s="1820">
        <v>4</v>
      </c>
      <c r="H44" s="1808"/>
      <c r="I44" s="1809"/>
      <c r="J44" s="1808"/>
      <c r="K44" s="1809"/>
      <c r="L44" s="1832">
        <f>'Plan 2014-17 Wydatki'!U26/1000</f>
        <v>3</v>
      </c>
      <c r="M44" s="1832">
        <f>'Plan 2014-17 Wydatki'!V26/1000</f>
        <v>0</v>
      </c>
      <c r="N44" s="1832">
        <f>SUM(L44:M44)</f>
        <v>3</v>
      </c>
      <c r="O44" s="1806"/>
      <c r="P44" s="1806"/>
      <c r="Q44" s="1806"/>
      <c r="R44" s="1806"/>
    </row>
    <row r="45" spans="1:22" ht="41.25" customHeight="1">
      <c r="A45" s="1789"/>
      <c r="B45" s="1827"/>
      <c r="C45" s="1827" t="s">
        <v>767</v>
      </c>
      <c r="D45" s="1827"/>
      <c r="E45" s="1827"/>
      <c r="F45" s="1807">
        <v>0</v>
      </c>
      <c r="G45" s="1820">
        <v>0</v>
      </c>
      <c r="H45" s="1808"/>
      <c r="I45" s="1809"/>
      <c r="J45" s="1808"/>
      <c r="K45" s="1809"/>
      <c r="L45" s="1832">
        <f>'Plan 2014-17 Wydatki'!U35/1000</f>
        <v>3220</v>
      </c>
      <c r="M45" s="1832">
        <f>'Plan 2014-17 Wydatki'!V35/1000</f>
        <v>0</v>
      </c>
      <c r="N45" s="1832">
        <f>SUM(L45:M45)</f>
        <v>3220</v>
      </c>
      <c r="O45" s="1806"/>
      <c r="P45" s="1806"/>
      <c r="Q45" s="1806"/>
      <c r="R45" s="1806"/>
    </row>
    <row r="46" spans="1:22" ht="41.25" customHeight="1">
      <c r="A46" s="1789"/>
      <c r="B46" s="1827"/>
      <c r="C46" s="1827" t="s">
        <v>768</v>
      </c>
      <c r="D46" s="1827"/>
      <c r="E46" s="1827"/>
      <c r="F46" s="1807">
        <v>2398</v>
      </c>
      <c r="G46" s="1820">
        <v>4000</v>
      </c>
      <c r="H46" s="1808"/>
      <c r="I46" s="1809"/>
      <c r="J46" s="1808"/>
      <c r="K46" s="1809"/>
      <c r="L46" s="1832">
        <f>'Plan 2014-17 Wydatki'!U34/1000</f>
        <v>2500</v>
      </c>
      <c r="M46" s="1832">
        <f>'Plan 2014-17 Wydatki'!V34/1000</f>
        <v>0</v>
      </c>
      <c r="N46" s="1832">
        <f>SUM(L46:M46)</f>
        <v>2500</v>
      </c>
      <c r="O46" s="1806"/>
      <c r="P46" s="1806"/>
      <c r="Q46" s="1806"/>
      <c r="R46" s="1806"/>
    </row>
    <row r="47" spans="1:22" ht="41.25" hidden="1" customHeight="1">
      <c r="A47" s="1789"/>
      <c r="B47" s="1798"/>
      <c r="C47" s="1798" t="s">
        <v>769</v>
      </c>
      <c r="D47" s="1798"/>
      <c r="E47" s="1798"/>
      <c r="F47" s="1807"/>
      <c r="G47" s="1807"/>
      <c r="H47" s="1808"/>
      <c r="I47" s="1809"/>
      <c r="J47" s="1808"/>
      <c r="K47" s="1809"/>
      <c r="L47" s="1832"/>
      <c r="M47" s="1829"/>
      <c r="N47" s="1832"/>
      <c r="O47" s="1806"/>
      <c r="P47" s="1806"/>
      <c r="Q47" s="1806"/>
      <c r="R47" s="1806"/>
    </row>
    <row r="48" spans="1:22" ht="41.25" customHeight="1">
      <c r="A48" s="1789"/>
      <c r="B48" s="1833"/>
      <c r="C48" s="1833" t="s">
        <v>770</v>
      </c>
      <c r="D48" s="1833"/>
      <c r="E48" s="1833"/>
      <c r="F48" s="1883">
        <f>SUM(F49:F69)</f>
        <v>30082</v>
      </c>
      <c r="G48" s="1883">
        <f>SUM(G49:G69)</f>
        <v>23012</v>
      </c>
      <c r="H48" s="1834"/>
      <c r="I48" s="1809"/>
      <c r="J48" s="1834"/>
      <c r="K48" s="1809"/>
      <c r="L48" s="1835">
        <f>SUM(L49:L69)</f>
        <v>100172</v>
      </c>
      <c r="M48" s="1805"/>
      <c r="N48" s="1835">
        <f>SUM(N49:N69)</f>
        <v>100172</v>
      </c>
      <c r="O48" s="1836"/>
      <c r="P48" s="1836"/>
      <c r="Q48" s="1836"/>
      <c r="R48" s="1836"/>
    </row>
    <row r="49" spans="1:18" ht="41.25" hidden="1" customHeight="1">
      <c r="A49" s="1789"/>
      <c r="B49" s="1827"/>
      <c r="C49" s="1827" t="s">
        <v>155</v>
      </c>
      <c r="D49" s="1827"/>
      <c r="E49" s="1827" t="s">
        <v>771</v>
      </c>
      <c r="F49" s="1807"/>
      <c r="G49" s="1807"/>
      <c r="H49" s="1808"/>
      <c r="I49" s="1809"/>
      <c r="J49" s="1808"/>
      <c r="K49" s="1809"/>
      <c r="L49" s="1832"/>
      <c r="M49" s="1829"/>
      <c r="N49" s="1832"/>
      <c r="O49" s="1806"/>
      <c r="P49" s="1806"/>
      <c r="Q49" s="1806"/>
      <c r="R49" s="1806"/>
    </row>
    <row r="50" spans="1:18" ht="41.25" hidden="1" customHeight="1">
      <c r="A50" s="1789"/>
      <c r="B50" s="1827"/>
      <c r="C50" s="1827" t="s">
        <v>156</v>
      </c>
      <c r="D50" s="1827"/>
      <c r="E50" s="1827" t="s">
        <v>765</v>
      </c>
      <c r="F50" s="1807">
        <v>0</v>
      </c>
      <c r="G50" s="1807">
        <v>0</v>
      </c>
      <c r="H50" s="1808"/>
      <c r="I50" s="1809"/>
      <c r="J50" s="1808"/>
      <c r="K50" s="1809"/>
      <c r="L50" s="1832"/>
      <c r="M50" s="1829"/>
      <c r="N50" s="1832"/>
      <c r="O50" s="1806"/>
      <c r="P50" s="1806"/>
      <c r="Q50" s="1806"/>
      <c r="R50" s="1806"/>
    </row>
    <row r="51" spans="1:18" ht="41.25" hidden="1" customHeight="1">
      <c r="A51" s="1789"/>
      <c r="B51" s="1827"/>
      <c r="C51" s="1827" t="s">
        <v>159</v>
      </c>
      <c r="D51" s="1827"/>
      <c r="E51" s="1827" t="s">
        <v>771</v>
      </c>
      <c r="F51" s="1807"/>
      <c r="G51" s="1807"/>
      <c r="H51" s="1808"/>
      <c r="I51" s="1809"/>
      <c r="J51" s="1808"/>
      <c r="K51" s="1809"/>
      <c r="L51" s="1832"/>
      <c r="M51" s="1829"/>
      <c r="N51" s="1832"/>
      <c r="O51" s="1806"/>
      <c r="P51" s="1806"/>
      <c r="Q51" s="1806"/>
      <c r="R51" s="1806"/>
    </row>
    <row r="52" spans="1:18" ht="41.25" hidden="1" customHeight="1">
      <c r="A52" s="1789"/>
      <c r="B52" s="1827"/>
      <c r="C52" s="1827" t="s">
        <v>772</v>
      </c>
      <c r="D52" s="1827"/>
      <c r="E52" s="1827" t="s">
        <v>765</v>
      </c>
      <c r="F52" s="1807">
        <v>0</v>
      </c>
      <c r="G52" s="1807">
        <v>0</v>
      </c>
      <c r="H52" s="1808"/>
      <c r="I52" s="1809"/>
      <c r="J52" s="1808"/>
      <c r="K52" s="1809"/>
      <c r="L52" s="1832"/>
      <c r="M52" s="1829"/>
      <c r="N52" s="1832"/>
      <c r="O52" s="1806"/>
      <c r="P52" s="1806"/>
      <c r="Q52" s="1806"/>
      <c r="R52" s="1806"/>
    </row>
    <row r="53" spans="1:18" ht="41.25" hidden="1" customHeight="1">
      <c r="A53" s="1789"/>
      <c r="B53" s="1827"/>
      <c r="C53" s="1827" t="s">
        <v>157</v>
      </c>
      <c r="D53" s="1827"/>
      <c r="E53" s="1827" t="s">
        <v>771</v>
      </c>
      <c r="F53" s="1807"/>
      <c r="G53" s="1807"/>
      <c r="H53" s="1808"/>
      <c r="I53" s="1809"/>
      <c r="J53" s="1808"/>
      <c r="K53" s="1809"/>
      <c r="L53" s="1832"/>
      <c r="M53" s="1829"/>
      <c r="N53" s="1832"/>
      <c r="O53" s="1806"/>
      <c r="P53" s="1806"/>
      <c r="Q53" s="1806"/>
      <c r="R53" s="1806"/>
    </row>
    <row r="54" spans="1:18" ht="41.25" hidden="1" customHeight="1">
      <c r="A54" s="1789"/>
      <c r="B54" s="1827"/>
      <c r="C54" s="1827" t="s">
        <v>158</v>
      </c>
      <c r="D54" s="1827"/>
      <c r="E54" s="1827" t="s">
        <v>771</v>
      </c>
      <c r="F54" s="1807"/>
      <c r="G54" s="1807"/>
      <c r="H54" s="1808"/>
      <c r="I54" s="1809"/>
      <c r="J54" s="1808"/>
      <c r="K54" s="1809"/>
      <c r="L54" s="1832"/>
      <c r="M54" s="1829"/>
      <c r="N54" s="1832"/>
      <c r="O54" s="1806"/>
      <c r="P54" s="1806"/>
      <c r="Q54" s="1806"/>
      <c r="R54" s="1806"/>
    </row>
    <row r="55" spans="1:18" ht="41.25" hidden="1" customHeight="1">
      <c r="A55" s="1789"/>
      <c r="B55" s="1827"/>
      <c r="C55" s="1827" t="s">
        <v>773</v>
      </c>
      <c r="D55" s="1827"/>
      <c r="E55" s="1827" t="s">
        <v>771</v>
      </c>
      <c r="F55" s="1807"/>
      <c r="G55" s="1807"/>
      <c r="H55" s="1808"/>
      <c r="I55" s="1809"/>
      <c r="J55" s="1808"/>
      <c r="K55" s="1809"/>
      <c r="L55" s="1832"/>
      <c r="M55" s="1829"/>
      <c r="N55" s="1832"/>
      <c r="O55" s="1806"/>
      <c r="P55" s="1806"/>
      <c r="Q55" s="1806"/>
      <c r="R55" s="1806"/>
    </row>
    <row r="56" spans="1:18" ht="41.25" hidden="1" customHeight="1">
      <c r="A56" s="1789"/>
      <c r="B56" s="1827"/>
      <c r="C56" s="1827" t="s">
        <v>160</v>
      </c>
      <c r="D56" s="1827"/>
      <c r="E56" s="1827" t="s">
        <v>771</v>
      </c>
      <c r="F56" s="1807"/>
      <c r="G56" s="1807"/>
      <c r="H56" s="1808"/>
      <c r="I56" s="1809"/>
      <c r="J56" s="1808"/>
      <c r="K56" s="1809"/>
      <c r="L56" s="1832"/>
      <c r="M56" s="1829"/>
      <c r="N56" s="1832"/>
      <c r="O56" s="1806"/>
      <c r="P56" s="1806"/>
      <c r="Q56" s="1806"/>
      <c r="R56" s="1806"/>
    </row>
    <row r="57" spans="1:18" ht="41.25" hidden="1" customHeight="1">
      <c r="A57" s="1789"/>
      <c r="B57" s="1827"/>
      <c r="C57" s="1827" t="s">
        <v>774</v>
      </c>
      <c r="D57" s="1827"/>
      <c r="E57" s="1827" t="s">
        <v>771</v>
      </c>
      <c r="F57" s="1807"/>
      <c r="G57" s="1807"/>
      <c r="H57" s="1808"/>
      <c r="I57" s="1809"/>
      <c r="J57" s="1808"/>
      <c r="K57" s="1809"/>
      <c r="L57" s="1832"/>
      <c r="M57" s="1829"/>
      <c r="N57" s="1832"/>
      <c r="O57" s="1806"/>
      <c r="P57" s="1806"/>
      <c r="Q57" s="1806"/>
      <c r="R57" s="1806"/>
    </row>
    <row r="58" spans="1:18" ht="41.25" hidden="1" customHeight="1">
      <c r="A58" s="1789"/>
      <c r="B58" s="1827"/>
      <c r="C58" s="1827" t="s">
        <v>775</v>
      </c>
      <c r="D58" s="1827"/>
      <c r="E58" s="1827" t="s">
        <v>771</v>
      </c>
      <c r="F58" s="1807"/>
      <c r="G58" s="1807"/>
      <c r="H58" s="1808"/>
      <c r="I58" s="1809"/>
      <c r="J58" s="1808"/>
      <c r="K58" s="1809"/>
      <c r="L58" s="1832"/>
      <c r="M58" s="1829"/>
      <c r="N58" s="1832"/>
      <c r="O58" s="1806"/>
      <c r="P58" s="1806"/>
      <c r="Q58" s="1806"/>
      <c r="R58" s="1806"/>
    </row>
    <row r="59" spans="1:18" ht="41.25" hidden="1" customHeight="1">
      <c r="A59" s="1789"/>
      <c r="B59" s="1827"/>
      <c r="C59" s="1827" t="s">
        <v>167</v>
      </c>
      <c r="D59" s="1827"/>
      <c r="E59" s="1827" t="s">
        <v>765</v>
      </c>
      <c r="F59" s="1807">
        <v>0</v>
      </c>
      <c r="G59" s="1807">
        <v>0</v>
      </c>
      <c r="H59" s="1808"/>
      <c r="I59" s="1809"/>
      <c r="J59" s="1808"/>
      <c r="K59" s="1809"/>
      <c r="L59" s="1832"/>
      <c r="M59" s="1829"/>
      <c r="N59" s="1832"/>
      <c r="O59" s="1806"/>
      <c r="P59" s="1806"/>
      <c r="Q59" s="1806"/>
      <c r="R59" s="1806"/>
    </row>
    <row r="60" spans="1:18" ht="41.25" hidden="1" customHeight="1">
      <c r="A60" s="1789"/>
      <c r="B60" s="1827"/>
      <c r="C60" s="1827" t="s">
        <v>776</v>
      </c>
      <c r="D60" s="1827"/>
      <c r="E60" s="1827" t="s">
        <v>771</v>
      </c>
      <c r="F60" s="1807"/>
      <c r="G60" s="1807"/>
      <c r="H60" s="1808"/>
      <c r="I60" s="1809"/>
      <c r="J60" s="1808"/>
      <c r="K60" s="1809"/>
      <c r="L60" s="1832"/>
      <c r="M60" s="1829"/>
      <c r="N60" s="1832"/>
      <c r="O60" s="1806"/>
      <c r="P60" s="1806"/>
      <c r="Q60" s="1806"/>
      <c r="R60" s="1806"/>
    </row>
    <row r="61" spans="1:18" ht="42" customHeight="1">
      <c r="A61" s="1789"/>
      <c r="B61" s="1827"/>
      <c r="C61" s="1827" t="s">
        <v>777</v>
      </c>
      <c r="D61" s="1827"/>
      <c r="E61" s="1827"/>
      <c r="F61" s="1807">
        <v>47</v>
      </c>
      <c r="G61" s="1807">
        <v>12</v>
      </c>
      <c r="H61" s="1808"/>
      <c r="I61" s="1809"/>
      <c r="J61" s="1808"/>
      <c r="K61" s="1809"/>
      <c r="L61" s="1832">
        <f>'Plan 2014-17 Wydatki'!U44/1000</f>
        <v>820</v>
      </c>
      <c r="M61" s="1832">
        <f>'Plan 2014-17 Wydatki'!V44/1000</f>
        <v>0</v>
      </c>
      <c r="N61" s="1830">
        <f t="shared" ref="N61:N69" si="0">SUM(L61:M61)</f>
        <v>820</v>
      </c>
      <c r="O61" s="1806"/>
      <c r="P61" s="1806"/>
      <c r="Q61" s="1806"/>
      <c r="R61" s="1806"/>
    </row>
    <row r="62" spans="1:18" ht="42" customHeight="1">
      <c r="A62" s="1789"/>
      <c r="B62" s="1827"/>
      <c r="C62" s="1827" t="s">
        <v>166</v>
      </c>
      <c r="D62" s="1827"/>
      <c r="E62" s="1827"/>
      <c r="F62" s="1807">
        <v>29464</v>
      </c>
      <c r="G62" s="1807">
        <v>23000</v>
      </c>
      <c r="H62" s="1808"/>
      <c r="I62" s="1809"/>
      <c r="J62" s="1808"/>
      <c r="K62" s="1809"/>
      <c r="L62" s="1832">
        <f>'Plan 2014-17 Wydatki'!U43/1000</f>
        <v>99352</v>
      </c>
      <c r="M62" s="1832">
        <f>'Plan 2014-17 Wydatki'!V43/1000</f>
        <v>0</v>
      </c>
      <c r="N62" s="1830">
        <f t="shared" si="0"/>
        <v>99352</v>
      </c>
      <c r="O62" s="1806"/>
      <c r="P62" s="1806"/>
      <c r="Q62" s="1806"/>
      <c r="R62" s="1806"/>
    </row>
    <row r="63" spans="1:18" ht="42" customHeight="1">
      <c r="A63" s="1789"/>
      <c r="B63" s="1827"/>
      <c r="C63" s="1837" t="s">
        <v>151</v>
      </c>
      <c r="D63" s="1827"/>
      <c r="E63" s="1827"/>
      <c r="F63" s="1807">
        <v>571</v>
      </c>
      <c r="G63" s="1807"/>
      <c r="H63" s="1808"/>
      <c r="I63" s="1809"/>
      <c r="J63" s="1808"/>
      <c r="K63" s="1809"/>
      <c r="L63" s="1832"/>
      <c r="M63" s="1829"/>
      <c r="N63" s="1830">
        <f t="shared" si="0"/>
        <v>0</v>
      </c>
      <c r="O63" s="1806"/>
      <c r="P63" s="1806"/>
      <c r="Q63" s="1806"/>
      <c r="R63" s="1806"/>
    </row>
    <row r="64" spans="1:18" ht="42" hidden="1" customHeight="1">
      <c r="A64" s="1789"/>
      <c r="B64" s="1827"/>
      <c r="C64" s="1837" t="s">
        <v>778</v>
      </c>
      <c r="D64" s="1827"/>
      <c r="E64" s="1827"/>
      <c r="F64" s="1807"/>
      <c r="G64" s="1807"/>
      <c r="H64" s="1808"/>
      <c r="I64" s="1809"/>
      <c r="J64" s="1808"/>
      <c r="K64" s="1809"/>
      <c r="L64" s="1832"/>
      <c r="M64" s="1829"/>
      <c r="N64" s="1830">
        <f t="shared" si="0"/>
        <v>0</v>
      </c>
      <c r="O64" s="1806"/>
      <c r="P64" s="1806"/>
      <c r="Q64" s="1806"/>
      <c r="R64" s="1806"/>
    </row>
    <row r="65" spans="1:18" ht="42" hidden="1" customHeight="1">
      <c r="A65" s="1789"/>
      <c r="B65" s="1827"/>
      <c r="C65" s="1837" t="s">
        <v>186</v>
      </c>
      <c r="D65" s="1827"/>
      <c r="E65" s="1827"/>
      <c r="F65" s="1807"/>
      <c r="G65" s="1807"/>
      <c r="H65" s="1808"/>
      <c r="I65" s="1809"/>
      <c r="J65" s="1808"/>
      <c r="K65" s="1809"/>
      <c r="L65" s="1832"/>
      <c r="M65" s="1829"/>
      <c r="N65" s="1830">
        <f t="shared" si="0"/>
        <v>0</v>
      </c>
      <c r="O65" s="1806"/>
      <c r="P65" s="1806"/>
      <c r="Q65" s="1806"/>
      <c r="R65" s="1806"/>
    </row>
    <row r="66" spans="1:18" ht="42" hidden="1" customHeight="1">
      <c r="A66" s="1789"/>
      <c r="B66" s="1827"/>
      <c r="C66" s="1837" t="s">
        <v>161</v>
      </c>
      <c r="D66" s="1827"/>
      <c r="E66" s="1827"/>
      <c r="F66" s="1807"/>
      <c r="G66" s="1807"/>
      <c r="H66" s="1808"/>
      <c r="I66" s="1809"/>
      <c r="J66" s="1808"/>
      <c r="K66" s="1809"/>
      <c r="L66" s="1832"/>
      <c r="M66" s="1829"/>
      <c r="N66" s="1830">
        <f t="shared" si="0"/>
        <v>0</v>
      </c>
      <c r="O66" s="1806"/>
      <c r="P66" s="1806"/>
      <c r="Q66" s="1806"/>
      <c r="R66" s="1806"/>
    </row>
    <row r="67" spans="1:18" ht="42" hidden="1" customHeight="1">
      <c r="A67" s="1789"/>
      <c r="B67" s="1827"/>
      <c r="C67" s="1837" t="s">
        <v>377</v>
      </c>
      <c r="D67" s="1827"/>
      <c r="E67" s="1827"/>
      <c r="F67" s="1807"/>
      <c r="G67" s="1807"/>
      <c r="H67" s="1808"/>
      <c r="I67" s="1809"/>
      <c r="J67" s="1808"/>
      <c r="K67" s="1809"/>
      <c r="L67" s="1832"/>
      <c r="M67" s="1829"/>
      <c r="N67" s="1830">
        <f t="shared" si="0"/>
        <v>0</v>
      </c>
      <c r="O67" s="1806"/>
      <c r="P67" s="1806"/>
      <c r="Q67" s="1806"/>
      <c r="R67" s="1806"/>
    </row>
    <row r="68" spans="1:18" ht="42" hidden="1" customHeight="1">
      <c r="A68" s="1789"/>
      <c r="B68" s="1827"/>
      <c r="C68" s="1837" t="s">
        <v>178</v>
      </c>
      <c r="D68" s="1827"/>
      <c r="E68" s="1827"/>
      <c r="F68" s="1807"/>
      <c r="G68" s="1807"/>
      <c r="H68" s="1808"/>
      <c r="I68" s="1809"/>
      <c r="J68" s="1808"/>
      <c r="K68" s="1809"/>
      <c r="L68" s="1832"/>
      <c r="M68" s="1829"/>
      <c r="N68" s="1830">
        <f t="shared" si="0"/>
        <v>0</v>
      </c>
      <c r="O68" s="1806"/>
      <c r="P68" s="1806"/>
      <c r="Q68" s="1806"/>
      <c r="R68" s="1806"/>
    </row>
    <row r="69" spans="1:18" ht="42" customHeight="1">
      <c r="A69" s="1789"/>
      <c r="B69" s="1827"/>
      <c r="C69" s="1827" t="s">
        <v>168</v>
      </c>
      <c r="D69" s="1827"/>
      <c r="E69" s="1827"/>
      <c r="F69" s="1807">
        <v>0</v>
      </c>
      <c r="G69" s="1807">
        <v>0</v>
      </c>
      <c r="H69" s="1808"/>
      <c r="I69" s="1809"/>
      <c r="J69" s="1808"/>
      <c r="K69" s="1809"/>
      <c r="L69" s="1830">
        <v>0</v>
      </c>
      <c r="M69" s="1829"/>
      <c r="N69" s="1830">
        <f t="shared" si="0"/>
        <v>0</v>
      </c>
      <c r="O69" s="1806"/>
      <c r="P69" s="1806"/>
      <c r="Q69" s="1806"/>
      <c r="R69" s="1806"/>
    </row>
    <row r="70" spans="1:18" ht="68.099999999999994" hidden="1" customHeight="1">
      <c r="A70" s="1789"/>
      <c r="B70" s="1798" t="s">
        <v>779</v>
      </c>
      <c r="C70" s="1798" t="s">
        <v>780</v>
      </c>
      <c r="D70" s="1798" t="s">
        <v>781</v>
      </c>
      <c r="E70" s="1798" t="s">
        <v>782</v>
      </c>
      <c r="F70" s="1807"/>
      <c r="G70" s="1807"/>
      <c r="H70" s="1808"/>
      <c r="I70" s="1809"/>
      <c r="J70" s="1808"/>
      <c r="K70" s="1809"/>
      <c r="L70" s="1832"/>
      <c r="M70" s="1829"/>
      <c r="N70" s="1832"/>
      <c r="O70" s="1806"/>
      <c r="P70" s="1806"/>
      <c r="Q70" s="1806"/>
      <c r="R70" s="1806"/>
    </row>
    <row r="71" spans="1:18" ht="48.9" hidden="1" customHeight="1">
      <c r="A71" s="1789"/>
      <c r="B71" s="1798" t="s">
        <v>783</v>
      </c>
      <c r="C71" s="1798" t="s">
        <v>784</v>
      </c>
      <c r="D71" s="1798" t="s">
        <v>785</v>
      </c>
      <c r="E71" s="1798" t="s">
        <v>786</v>
      </c>
      <c r="F71" s="1807"/>
      <c r="G71" s="1807"/>
      <c r="H71" s="1808"/>
      <c r="I71" s="1809"/>
      <c r="J71" s="1808"/>
      <c r="K71" s="1809"/>
      <c r="L71" s="1832"/>
      <c r="M71" s="1829"/>
      <c r="N71" s="1832"/>
      <c r="O71" s="1806"/>
      <c r="P71" s="1806"/>
      <c r="Q71" s="1806"/>
      <c r="R71" s="1806"/>
    </row>
    <row r="72" spans="1:18" ht="39" hidden="1" customHeight="1">
      <c r="A72" s="1789"/>
      <c r="B72" s="1798" t="s">
        <v>787</v>
      </c>
      <c r="C72" s="1798" t="s">
        <v>788</v>
      </c>
      <c r="D72" s="1798"/>
      <c r="E72" s="1798"/>
      <c r="F72" s="1807"/>
      <c r="G72" s="1807"/>
      <c r="H72" s="1808"/>
      <c r="I72" s="1809"/>
      <c r="J72" s="1808"/>
      <c r="K72" s="1809"/>
      <c r="L72" s="1832"/>
      <c r="M72" s="1829"/>
      <c r="N72" s="1832"/>
      <c r="O72" s="1806"/>
      <c r="P72" s="1806"/>
      <c r="Q72" s="1806"/>
      <c r="R72" s="1806"/>
    </row>
    <row r="73" spans="1:18" ht="29.1" hidden="1" customHeight="1">
      <c r="A73" s="1789"/>
      <c r="B73" s="1798" t="s">
        <v>789</v>
      </c>
      <c r="C73" s="1798" t="s">
        <v>790</v>
      </c>
      <c r="D73" s="1798"/>
      <c r="E73" s="1798"/>
      <c r="F73" s="1807"/>
      <c r="G73" s="1807"/>
      <c r="H73" s="1808"/>
      <c r="I73" s="1809"/>
      <c r="J73" s="1808"/>
      <c r="K73" s="1809"/>
      <c r="L73" s="1832"/>
      <c r="M73" s="1829"/>
      <c r="N73" s="1832"/>
      <c r="O73" s="1806"/>
      <c r="P73" s="1806"/>
      <c r="Q73" s="1806"/>
      <c r="R73" s="1806"/>
    </row>
    <row r="74" spans="1:18" ht="39" hidden="1" customHeight="1">
      <c r="A74" s="1789"/>
      <c r="B74" s="1798" t="s">
        <v>791</v>
      </c>
      <c r="C74" s="1798" t="s">
        <v>792</v>
      </c>
      <c r="D74" s="1798" t="s">
        <v>793</v>
      </c>
      <c r="E74" s="1798" t="s">
        <v>794</v>
      </c>
      <c r="F74" s="1807"/>
      <c r="G74" s="1807"/>
      <c r="H74" s="1808"/>
      <c r="I74" s="1809"/>
      <c r="J74" s="1808"/>
      <c r="K74" s="1809"/>
      <c r="L74" s="1832"/>
      <c r="M74" s="1829"/>
      <c r="N74" s="1832"/>
      <c r="O74" s="1806"/>
      <c r="P74" s="1806"/>
      <c r="Q74" s="1806"/>
      <c r="R74" s="1806"/>
    </row>
    <row r="75" spans="1:18" ht="39" hidden="1" customHeight="1">
      <c r="A75" s="1789"/>
      <c r="B75" s="1798" t="s">
        <v>795</v>
      </c>
      <c r="C75" s="1798" t="s">
        <v>796</v>
      </c>
      <c r="D75" s="1798"/>
      <c r="E75" s="1798"/>
      <c r="F75" s="1807"/>
      <c r="G75" s="1807"/>
      <c r="H75" s="1808"/>
      <c r="I75" s="1809"/>
      <c r="J75" s="1808"/>
      <c r="K75" s="1809"/>
      <c r="L75" s="1832"/>
      <c r="M75" s="1829"/>
      <c r="N75" s="1832"/>
      <c r="O75" s="1806"/>
      <c r="P75" s="1806"/>
      <c r="Q75" s="1806"/>
      <c r="R75" s="1806"/>
    </row>
    <row r="76" spans="1:18" ht="39" hidden="1" customHeight="1">
      <c r="A76" s="1789"/>
      <c r="B76" s="1798" t="s">
        <v>797</v>
      </c>
      <c r="C76" s="1798" t="s">
        <v>798</v>
      </c>
      <c r="D76" s="1798"/>
      <c r="E76" s="1798"/>
      <c r="F76" s="1807"/>
      <c r="G76" s="1807"/>
      <c r="H76" s="1808"/>
      <c r="I76" s="1809"/>
      <c r="J76" s="1808"/>
      <c r="K76" s="1809"/>
      <c r="L76" s="1832"/>
      <c r="M76" s="1829"/>
      <c r="N76" s="1832"/>
      <c r="O76" s="1806"/>
      <c r="P76" s="1806"/>
      <c r="Q76" s="1806"/>
      <c r="R76" s="1806"/>
    </row>
    <row r="77" spans="1:18" ht="48.9" hidden="1" customHeight="1">
      <c r="A77" s="1789"/>
      <c r="B77" s="1798" t="s">
        <v>799</v>
      </c>
      <c r="C77" s="1798" t="s">
        <v>800</v>
      </c>
      <c r="D77" s="1798"/>
      <c r="E77" s="1798"/>
      <c r="F77" s="1807"/>
      <c r="G77" s="1807"/>
      <c r="H77" s="1808"/>
      <c r="I77" s="1809"/>
      <c r="J77" s="1808"/>
      <c r="K77" s="1809"/>
      <c r="L77" s="1832"/>
      <c r="M77" s="1829"/>
      <c r="N77" s="1832"/>
      <c r="O77" s="1806"/>
      <c r="P77" s="1806"/>
      <c r="Q77" s="1806"/>
      <c r="R77" s="1806"/>
    </row>
    <row r="78" spans="1:18" ht="48.9" hidden="1" customHeight="1">
      <c r="A78" s="1789"/>
      <c r="B78" s="1798" t="s">
        <v>801</v>
      </c>
      <c r="C78" s="1798" t="s">
        <v>802</v>
      </c>
      <c r="D78" s="1798"/>
      <c r="E78" s="1798"/>
      <c r="F78" s="1807"/>
      <c r="G78" s="1807"/>
      <c r="H78" s="1808"/>
      <c r="I78" s="1809"/>
      <c r="J78" s="1808"/>
      <c r="K78" s="1809"/>
      <c r="L78" s="1832"/>
      <c r="M78" s="1829"/>
      <c r="N78" s="1832"/>
      <c r="O78" s="1806"/>
      <c r="P78" s="1806"/>
      <c r="Q78" s="1806"/>
      <c r="R78" s="1806"/>
    </row>
    <row r="79" spans="1:18" ht="39" hidden="1" customHeight="1">
      <c r="A79" s="1789"/>
      <c r="B79" s="1798" t="s">
        <v>803</v>
      </c>
      <c r="C79" s="1798" t="s">
        <v>804</v>
      </c>
      <c r="D79" s="1798" t="s">
        <v>805</v>
      </c>
      <c r="E79" s="1798" t="s">
        <v>806</v>
      </c>
      <c r="F79" s="1807"/>
      <c r="G79" s="1807"/>
      <c r="H79" s="1808"/>
      <c r="I79" s="1809"/>
      <c r="J79" s="1808"/>
      <c r="K79" s="1809"/>
      <c r="L79" s="1832"/>
      <c r="M79" s="1829"/>
      <c r="N79" s="1832"/>
      <c r="O79" s="1806"/>
      <c r="P79" s="1806"/>
      <c r="Q79" s="1806"/>
      <c r="R79" s="1806"/>
    </row>
    <row r="80" spans="1:18" ht="20.100000000000001" hidden="1" customHeight="1">
      <c r="A80" s="1789"/>
      <c r="B80" s="1798" t="s">
        <v>807</v>
      </c>
      <c r="C80" s="1798" t="s">
        <v>808</v>
      </c>
      <c r="D80" s="1798"/>
      <c r="E80" s="1798"/>
      <c r="F80" s="1807"/>
      <c r="G80" s="1807"/>
      <c r="H80" s="1808"/>
      <c r="I80" s="1809"/>
      <c r="J80" s="1808"/>
      <c r="K80" s="1809"/>
      <c r="L80" s="1832"/>
      <c r="M80" s="1829"/>
      <c r="N80" s="1832"/>
      <c r="O80" s="1806"/>
      <c r="P80" s="1806"/>
      <c r="Q80" s="1806"/>
      <c r="R80" s="1806"/>
    </row>
    <row r="81" spans="1:20" ht="20.100000000000001" hidden="1" customHeight="1">
      <c r="A81" s="1789"/>
      <c r="B81" s="1798" t="s">
        <v>809</v>
      </c>
      <c r="C81" s="1798" t="s">
        <v>810</v>
      </c>
      <c r="D81" s="1798"/>
      <c r="E81" s="1798"/>
      <c r="F81" s="1807"/>
      <c r="G81" s="1807"/>
      <c r="H81" s="1808"/>
      <c r="I81" s="1809"/>
      <c r="J81" s="1808"/>
      <c r="K81" s="1809"/>
      <c r="L81" s="1832"/>
      <c r="M81" s="1829"/>
      <c r="N81" s="1832"/>
      <c r="O81" s="1806"/>
      <c r="P81" s="1806"/>
      <c r="Q81" s="1806"/>
      <c r="R81" s="1806"/>
    </row>
    <row r="82" spans="1:20" ht="48.9" hidden="1" customHeight="1">
      <c r="A82" s="1789"/>
      <c r="B82" s="1798" t="s">
        <v>811</v>
      </c>
      <c r="C82" s="1798" t="s">
        <v>812</v>
      </c>
      <c r="D82" s="1798" t="s">
        <v>813</v>
      </c>
      <c r="E82" s="1798" t="s">
        <v>814</v>
      </c>
      <c r="F82" s="1807"/>
      <c r="G82" s="1807"/>
      <c r="H82" s="1808"/>
      <c r="I82" s="1809"/>
      <c r="J82" s="1808"/>
      <c r="K82" s="1809"/>
      <c r="L82" s="1832"/>
      <c r="M82" s="1829"/>
      <c r="N82" s="1832"/>
      <c r="O82" s="1806"/>
      <c r="P82" s="1806"/>
      <c r="Q82" s="1806"/>
      <c r="R82" s="1806"/>
    </row>
    <row r="83" spans="1:20" ht="29.1" hidden="1" customHeight="1">
      <c r="A83" s="1789"/>
      <c r="B83" s="1798" t="s">
        <v>815</v>
      </c>
      <c r="C83" s="1798" t="s">
        <v>816</v>
      </c>
      <c r="D83" s="1798"/>
      <c r="E83" s="1798"/>
      <c r="F83" s="1807"/>
      <c r="G83" s="1807"/>
      <c r="H83" s="1808"/>
      <c r="I83" s="1809"/>
      <c r="J83" s="1808"/>
      <c r="K83" s="1809"/>
      <c r="L83" s="1832"/>
      <c r="M83" s="1829"/>
      <c r="N83" s="1832"/>
      <c r="O83" s="1806"/>
      <c r="P83" s="1806"/>
      <c r="Q83" s="1806"/>
      <c r="R83" s="1806"/>
    </row>
    <row r="84" spans="1:20" ht="29.1" hidden="1" customHeight="1">
      <c r="A84" s="1789"/>
      <c r="B84" s="1798" t="s">
        <v>817</v>
      </c>
      <c r="C84" s="1798" t="s">
        <v>818</v>
      </c>
      <c r="D84" s="1798"/>
      <c r="E84" s="1798"/>
      <c r="F84" s="1807"/>
      <c r="G84" s="1807"/>
      <c r="H84" s="1808"/>
      <c r="I84" s="1809"/>
      <c r="J84" s="1808"/>
      <c r="K84" s="1809"/>
      <c r="L84" s="1832"/>
      <c r="M84" s="1829"/>
      <c r="N84" s="1832"/>
      <c r="O84" s="1806"/>
      <c r="P84" s="1806"/>
      <c r="Q84" s="1806"/>
      <c r="R84" s="1806"/>
    </row>
    <row r="85" spans="1:20" ht="107.1" hidden="1" customHeight="1">
      <c r="A85" s="1789"/>
      <c r="B85" s="1798" t="s">
        <v>819</v>
      </c>
      <c r="C85" s="1798" t="s">
        <v>820</v>
      </c>
      <c r="D85" s="1798" t="s">
        <v>821</v>
      </c>
      <c r="E85" s="1798" t="s">
        <v>822</v>
      </c>
      <c r="F85" s="1807"/>
      <c r="G85" s="1807"/>
      <c r="H85" s="1808"/>
      <c r="I85" s="1809"/>
      <c r="J85" s="1808"/>
      <c r="K85" s="1809"/>
      <c r="L85" s="1832"/>
      <c r="M85" s="1829"/>
      <c r="N85" s="1832"/>
      <c r="O85" s="1806"/>
      <c r="P85" s="1806"/>
      <c r="Q85" s="1806"/>
      <c r="R85" s="1806"/>
    </row>
    <row r="86" spans="1:20" ht="39" hidden="1" customHeight="1">
      <c r="A86" s="1789"/>
      <c r="B86" s="1798" t="s">
        <v>823</v>
      </c>
      <c r="C86" s="1798" t="s">
        <v>824</v>
      </c>
      <c r="D86" s="1798"/>
      <c r="E86" s="1798"/>
      <c r="F86" s="1807"/>
      <c r="G86" s="1807"/>
      <c r="H86" s="1808"/>
      <c r="I86" s="1809"/>
      <c r="J86" s="1808"/>
      <c r="K86" s="1809"/>
      <c r="L86" s="1832"/>
      <c r="M86" s="1829"/>
      <c r="N86" s="1832"/>
      <c r="O86" s="1806"/>
      <c r="P86" s="1806"/>
      <c r="Q86" s="1806"/>
      <c r="R86" s="1806"/>
    </row>
    <row r="87" spans="1:20" ht="39" hidden="1" customHeight="1">
      <c r="A87" s="1789"/>
      <c r="B87" s="1798" t="s">
        <v>825</v>
      </c>
      <c r="C87" s="1798" t="s">
        <v>826</v>
      </c>
      <c r="D87" s="1798"/>
      <c r="E87" s="1798"/>
      <c r="F87" s="1807"/>
      <c r="G87" s="1807"/>
      <c r="H87" s="1808"/>
      <c r="I87" s="1809"/>
      <c r="J87" s="1808"/>
      <c r="K87" s="1809"/>
      <c r="L87" s="1832"/>
      <c r="M87" s="1829"/>
      <c r="N87" s="1832"/>
      <c r="O87" s="1806"/>
      <c r="P87" s="1806"/>
      <c r="Q87" s="1806"/>
      <c r="R87" s="1806"/>
    </row>
    <row r="88" spans="1:20" ht="68.099999999999994" hidden="1" customHeight="1">
      <c r="A88" s="1789"/>
      <c r="B88" s="1798" t="s">
        <v>827</v>
      </c>
      <c r="C88" s="1798" t="s">
        <v>828</v>
      </c>
      <c r="D88" s="1798" t="s">
        <v>829</v>
      </c>
      <c r="E88" s="1798" t="s">
        <v>830</v>
      </c>
      <c r="F88" s="1807"/>
      <c r="G88" s="1807"/>
      <c r="H88" s="1808"/>
      <c r="I88" s="1809"/>
      <c r="J88" s="1808"/>
      <c r="K88" s="1809"/>
      <c r="L88" s="1832"/>
      <c r="M88" s="1829"/>
      <c r="N88" s="1832"/>
      <c r="O88" s="1806"/>
      <c r="P88" s="1806"/>
      <c r="Q88" s="1806"/>
      <c r="R88" s="1806"/>
    </row>
    <row r="89" spans="1:20" ht="98.1" hidden="1" customHeight="1">
      <c r="A89" s="1789"/>
      <c r="B89" s="1798" t="s">
        <v>831</v>
      </c>
      <c r="C89" s="1798" t="s">
        <v>832</v>
      </c>
      <c r="D89" s="1798" t="s">
        <v>833</v>
      </c>
      <c r="E89" s="1798" t="s">
        <v>834</v>
      </c>
      <c r="F89" s="1807"/>
      <c r="G89" s="1807"/>
      <c r="H89" s="1808"/>
      <c r="I89" s="1809"/>
      <c r="J89" s="1808"/>
      <c r="K89" s="1809"/>
      <c r="L89" s="1832"/>
      <c r="M89" s="1829"/>
      <c r="N89" s="1832"/>
      <c r="O89" s="1806"/>
      <c r="P89" s="1806"/>
      <c r="Q89" s="1806"/>
      <c r="R89" s="1806"/>
    </row>
    <row r="90" spans="1:20" ht="39" hidden="1" customHeight="1">
      <c r="A90" s="1789"/>
      <c r="B90" s="1798" t="s">
        <v>835</v>
      </c>
      <c r="C90" s="1798" t="s">
        <v>836</v>
      </c>
      <c r="D90" s="1798"/>
      <c r="E90" s="1798"/>
      <c r="F90" s="1807"/>
      <c r="G90" s="1807"/>
      <c r="H90" s="1808"/>
      <c r="I90" s="1809"/>
      <c r="J90" s="1808"/>
      <c r="K90" s="1809"/>
      <c r="L90" s="1832"/>
      <c r="M90" s="1829"/>
      <c r="N90" s="1832"/>
      <c r="O90" s="1806"/>
      <c r="P90" s="1806"/>
      <c r="Q90" s="1806"/>
      <c r="R90" s="1806"/>
    </row>
    <row r="91" spans="1:20" ht="39" hidden="1" customHeight="1">
      <c r="A91" s="1789"/>
      <c r="B91" s="1798" t="s">
        <v>837</v>
      </c>
      <c r="C91" s="1798" t="s">
        <v>838</v>
      </c>
      <c r="D91" s="1798"/>
      <c r="E91" s="1798"/>
      <c r="F91" s="1807"/>
      <c r="G91" s="1807"/>
      <c r="H91" s="1808"/>
      <c r="I91" s="1809"/>
      <c r="J91" s="1808"/>
      <c r="K91" s="1809"/>
      <c r="L91" s="1832"/>
      <c r="M91" s="1829"/>
      <c r="N91" s="1832"/>
      <c r="O91" s="1806"/>
      <c r="P91" s="1806"/>
      <c r="Q91" s="1806"/>
      <c r="R91" s="1806"/>
    </row>
    <row r="92" spans="1:20" ht="38.4">
      <c r="A92" s="1789"/>
      <c r="B92" s="1838" t="s">
        <v>839</v>
      </c>
      <c r="C92" s="1823" t="s">
        <v>840</v>
      </c>
      <c r="D92" s="1839" t="s">
        <v>841</v>
      </c>
      <c r="E92" s="1840" t="s">
        <v>842</v>
      </c>
      <c r="F92" s="1877">
        <f>SUM(F93:F98)</f>
        <v>921</v>
      </c>
      <c r="G92" s="1877">
        <f>SUM(G93:G98)</f>
        <v>528</v>
      </c>
      <c r="H92" s="1825" t="e">
        <f>J92+R92</f>
        <v>#VALUE!</v>
      </c>
      <c r="I92" s="1816" t="e">
        <f>K92+Q92+N92</f>
        <v>#VALUE!</v>
      </c>
      <c r="J92" s="1825">
        <f>J11*4%</f>
        <v>13578.56</v>
      </c>
      <c r="K92" s="1816">
        <f>K11*4%</f>
        <v>4938.96</v>
      </c>
      <c r="L92" s="1825" t="e">
        <f>SUM(L93:L98)</f>
        <v>#VALUE!</v>
      </c>
      <c r="M92" s="1805"/>
      <c r="N92" s="1825" t="e">
        <f>SUM(N93:N98)</f>
        <v>#VALUE!</v>
      </c>
      <c r="O92" s="1826"/>
      <c r="P92" s="1826"/>
      <c r="Q92" s="1825">
        <f>Q11*4%</f>
        <v>1819.56</v>
      </c>
      <c r="R92" s="1825" t="e">
        <f>SUM(N92:Q92)</f>
        <v>#VALUE!</v>
      </c>
      <c r="S92" s="1817" t="e">
        <f>L92*100/L11</f>
        <v>#VALUE!</v>
      </c>
      <c r="T92" s="1817" t="e">
        <f>R92*100/R11</f>
        <v>#VALUE!</v>
      </c>
    </row>
    <row r="93" spans="1:20" ht="39" customHeight="1">
      <c r="A93" s="1789"/>
      <c r="B93" s="1827"/>
      <c r="C93" s="1827" t="s">
        <v>843</v>
      </c>
      <c r="D93" s="1827"/>
      <c r="E93" s="1827"/>
      <c r="F93" s="1807">
        <v>919</v>
      </c>
      <c r="G93" s="1807">
        <v>500</v>
      </c>
      <c r="H93" s="1808"/>
      <c r="I93" s="1809"/>
      <c r="J93" s="1808"/>
      <c r="K93" s="1809"/>
      <c r="L93" s="1832">
        <f>'Plan 2014-17 Wydatki'!U28/1000</f>
        <v>210000</v>
      </c>
      <c r="M93" s="1832">
        <f>'Plan 2014-17 Wydatki'!V28/1000</f>
        <v>0</v>
      </c>
      <c r="N93" s="1830">
        <f t="shared" ref="N93:N98" si="1">SUM(L93:M93)</f>
        <v>210000</v>
      </c>
      <c r="O93" s="1806"/>
      <c r="P93" s="1806"/>
      <c r="Q93" s="1806"/>
      <c r="R93" s="1806"/>
    </row>
    <row r="94" spans="1:20" ht="39" customHeight="1">
      <c r="A94" s="1789"/>
      <c r="B94" s="1827"/>
      <c r="C94" s="1827" t="s">
        <v>844</v>
      </c>
      <c r="D94" s="1827"/>
      <c r="E94" s="1827"/>
      <c r="F94" s="1841">
        <v>2</v>
      </c>
      <c r="G94" s="1841">
        <v>10</v>
      </c>
      <c r="H94" s="1808"/>
      <c r="I94" s="1809"/>
      <c r="J94" s="1808"/>
      <c r="K94" s="1809"/>
      <c r="L94" s="1832">
        <f>'Plan 2014-17 Wydatki'!U47/1000</f>
        <v>1500</v>
      </c>
      <c r="M94" s="1832">
        <f>'Plan 2014-17 Wydatki'!V47/1000</f>
        <v>0</v>
      </c>
      <c r="N94" s="1830">
        <f t="shared" si="1"/>
        <v>1500</v>
      </c>
      <c r="O94" s="1806"/>
      <c r="P94" s="1806"/>
      <c r="Q94" s="1806"/>
      <c r="R94" s="1806"/>
    </row>
    <row r="95" spans="1:20" ht="39" customHeight="1">
      <c r="A95" s="1789"/>
      <c r="B95" s="1827"/>
      <c r="C95" s="1827" t="str">
        <f>'Plan 2014-17 Wydatki'!B46</f>
        <v>Program podnoszenia świadomości społecznej językiem filmowym - Głęboka Woda III</v>
      </c>
      <c r="D95" s="1827"/>
      <c r="E95" s="1827"/>
      <c r="F95" s="1841">
        <v>0</v>
      </c>
      <c r="G95" s="1841">
        <v>1</v>
      </c>
      <c r="H95" s="1808"/>
      <c r="I95" s="1809"/>
      <c r="J95" s="1808"/>
      <c r="K95" s="1809"/>
      <c r="L95" s="1832">
        <f>'Plan 2014-17 Wydatki'!U46/1000</f>
        <v>1800</v>
      </c>
      <c r="M95" s="1832">
        <f>'Plan 2014-17 Wydatki'!V46/1000</f>
        <v>0</v>
      </c>
      <c r="N95" s="1830">
        <f t="shared" si="1"/>
        <v>1800</v>
      </c>
      <c r="O95" s="1806"/>
      <c r="P95" s="1806"/>
      <c r="Q95" s="1806"/>
      <c r="R95" s="1806"/>
    </row>
    <row r="96" spans="1:20" ht="39" customHeight="1">
      <c r="A96" s="1789"/>
      <c r="B96" s="1827"/>
      <c r="C96" s="1827" t="str">
        <f>'Plan 2014-17 Wydatki'!B45</f>
        <v>Program Wsparcia Centrów Sportu Niepełnosprawnych</v>
      </c>
      <c r="D96" s="1827"/>
      <c r="E96" s="1827"/>
      <c r="F96" s="1841">
        <v>0</v>
      </c>
      <c r="G96" s="1841">
        <v>1</v>
      </c>
      <c r="H96" s="1808"/>
      <c r="I96" s="1809"/>
      <c r="J96" s="1808"/>
      <c r="K96" s="1809"/>
      <c r="L96" s="1832">
        <f>'Plan 2014-17 Wydatki'!U45/1000</f>
        <v>3009</v>
      </c>
      <c r="M96" s="1832">
        <f>'Plan 2014-17 Wydatki'!V45/1000</f>
        <v>0</v>
      </c>
      <c r="N96" s="1830">
        <f t="shared" si="1"/>
        <v>3009</v>
      </c>
      <c r="O96" s="1806"/>
      <c r="P96" s="1806"/>
      <c r="Q96" s="1806"/>
      <c r="R96" s="1806"/>
    </row>
    <row r="97" spans="1:22" ht="39" customHeight="1">
      <c r="A97" s="1789"/>
      <c r="B97" s="1827"/>
      <c r="C97" s="2024" t="str">
        <f>'Plan 2014-17 Wydatki'!B48</f>
        <v>"Partnerstwo dla osób z niepełnosprawnościami" - program współpracy z Zarządami Województw w celu wpółfinansowania projektów organizacji pozarządowych wyłonionych przez Zarządy Województw w ramach Regionalnych Programów Operacyjnych</v>
      </c>
      <c r="D97" s="1827"/>
      <c r="E97" s="1827"/>
      <c r="F97" s="1841">
        <v>0</v>
      </c>
      <c r="G97" s="1841"/>
      <c r="H97" s="1808"/>
      <c r="I97" s="1809"/>
      <c r="J97" s="1808"/>
      <c r="K97" s="1809"/>
      <c r="L97" s="1830">
        <v>0</v>
      </c>
      <c r="M97" s="1830">
        <f>'Plan 2014-17 Wydatki'!V48/1000</f>
        <v>0</v>
      </c>
      <c r="N97" s="1830">
        <f t="shared" si="1"/>
        <v>0</v>
      </c>
      <c r="O97" s="1806"/>
      <c r="P97" s="1806"/>
      <c r="Q97" s="1806"/>
      <c r="R97" s="1806"/>
    </row>
    <row r="98" spans="1:22" ht="39" customHeight="1">
      <c r="A98" s="1789"/>
      <c r="B98" s="1827"/>
      <c r="C98" s="1827" t="s">
        <v>168</v>
      </c>
      <c r="D98" s="1827"/>
      <c r="E98" s="1827"/>
      <c r="F98" s="1841">
        <v>0</v>
      </c>
      <c r="G98" s="1841">
        <v>16</v>
      </c>
      <c r="H98" s="1808"/>
      <c r="I98" s="1809"/>
      <c r="J98" s="1808"/>
      <c r="K98" s="1809"/>
      <c r="L98" s="1830" t="e">
        <f>'Plan 2014-17 Wydatki'!U49/1000</f>
        <v>#VALUE!</v>
      </c>
      <c r="M98" s="1830">
        <f>'Plan 2014-17 Wydatki'!V49/1000</f>
        <v>0</v>
      </c>
      <c r="N98" s="1830" t="e">
        <f t="shared" si="1"/>
        <v>#VALUE!</v>
      </c>
      <c r="O98" s="1806"/>
      <c r="P98" s="1806"/>
      <c r="Q98" s="1806"/>
      <c r="R98" s="1806"/>
    </row>
    <row r="99" spans="1:22" ht="69.75" customHeight="1">
      <c r="A99" s="1789"/>
      <c r="B99" s="1812" t="s">
        <v>845</v>
      </c>
      <c r="C99" s="1813" t="s">
        <v>846</v>
      </c>
      <c r="D99" s="1814" t="s">
        <v>1099</v>
      </c>
      <c r="E99" s="1814" t="s">
        <v>1100</v>
      </c>
      <c r="F99" s="1882">
        <f>SUM(F102:F103,F105:F106,F109,F111:F115)</f>
        <v>400492</v>
      </c>
      <c r="G99" s="1882">
        <f>SUM(G102:G103,G105:G106,G109,G111:G115)</f>
        <v>393787</v>
      </c>
      <c r="H99" s="1815">
        <f>J99+R99</f>
        <v>3593202.75</v>
      </c>
      <c r="I99" s="1816">
        <f>K99+Q99+N99</f>
        <v>3431210.25</v>
      </c>
      <c r="J99" s="1815">
        <f>J11*75%</f>
        <v>254598</v>
      </c>
      <c r="K99" s="1816">
        <f>K11*75%</f>
        <v>92605.5</v>
      </c>
      <c r="L99" s="1815">
        <f>SUM(L100)</f>
        <v>3304488</v>
      </c>
      <c r="M99" s="1805"/>
      <c r="N99" s="1815">
        <f>SUM(N100)</f>
        <v>3304488</v>
      </c>
      <c r="O99" s="1806"/>
      <c r="P99" s="1806"/>
      <c r="Q99" s="1815">
        <f>Q11*75%</f>
        <v>34116.75</v>
      </c>
      <c r="R99" s="1815">
        <f>SUM(N99:Q99)</f>
        <v>3338604.75</v>
      </c>
      <c r="S99" s="1817" t="e">
        <f>L99*100/L11</f>
        <v>#VALUE!</v>
      </c>
      <c r="T99" s="1817" t="e">
        <f>R99*100/R11</f>
        <v>#VALUE!</v>
      </c>
    </row>
    <row r="100" spans="1:22" ht="47.25" customHeight="1">
      <c r="A100" s="1789"/>
      <c r="B100" s="1818" t="s">
        <v>847</v>
      </c>
      <c r="C100" s="1818" t="s">
        <v>848</v>
      </c>
      <c r="D100" s="1842" t="s">
        <v>849</v>
      </c>
      <c r="E100" s="1843" t="s">
        <v>850</v>
      </c>
      <c r="F100" s="1881">
        <f>SUM(F101,F109,F110)</f>
        <v>400492</v>
      </c>
      <c r="G100" s="1881">
        <f>SUM(G101,G109,G110)</f>
        <v>393787</v>
      </c>
      <c r="H100" s="1821">
        <f>J100+R100</f>
        <v>3593202.75</v>
      </c>
      <c r="I100" s="1816">
        <f>K100+Q100+N100</f>
        <v>3431210.25</v>
      </c>
      <c r="J100" s="1821">
        <f>J11*75%</f>
        <v>254598</v>
      </c>
      <c r="K100" s="1816">
        <f>K11*75%</f>
        <v>92605.5</v>
      </c>
      <c r="L100" s="1821">
        <f>SUM(L101+L108+L110)</f>
        <v>3304488</v>
      </c>
      <c r="M100" s="1805"/>
      <c r="N100" s="1821">
        <f>SUM(N101+N108+N110)</f>
        <v>3304488</v>
      </c>
      <c r="O100" s="1806"/>
      <c r="P100" s="1806"/>
      <c r="Q100" s="1821">
        <f>Q11*75%</f>
        <v>34116.75</v>
      </c>
      <c r="R100" s="1821">
        <f>SUM(N100:Q100)</f>
        <v>3338604.75</v>
      </c>
      <c r="S100" s="1817" t="e">
        <f>L100*100/L11</f>
        <v>#VALUE!</v>
      </c>
      <c r="T100" s="1817" t="e">
        <f>R100*100/R11</f>
        <v>#VALUE!</v>
      </c>
      <c r="U100" s="1811">
        <f>SUM(J101,J108,J110)</f>
        <v>254597.99999999997</v>
      </c>
      <c r="V100" s="1811">
        <f>SUM(Q101,Q108,Q110)</f>
        <v>34116.749999999993</v>
      </c>
    </row>
    <row r="101" spans="1:22" ht="48">
      <c r="A101" s="1789"/>
      <c r="B101" s="1838" t="s">
        <v>851</v>
      </c>
      <c r="C101" s="1823" t="s">
        <v>1101</v>
      </c>
      <c r="D101" s="1822" t="s">
        <v>852</v>
      </c>
      <c r="E101" s="1824" t="s">
        <v>853</v>
      </c>
      <c r="F101" s="1877">
        <f>SUM(F102:F103,F105:F106)</f>
        <v>356624</v>
      </c>
      <c r="G101" s="1877">
        <f>SUM(G102:G103,G105:G106)</f>
        <v>348420</v>
      </c>
      <c r="H101" s="1825">
        <f>J101+R101</f>
        <v>3321767.5700000003</v>
      </c>
      <c r="I101" s="1816">
        <f>K101+Q101+N101</f>
        <v>3172734.47</v>
      </c>
      <c r="J101" s="1825">
        <f>J11*69%</f>
        <v>234230.15999999997</v>
      </c>
      <c r="K101" s="1816">
        <f>K11*69%</f>
        <v>85197.06</v>
      </c>
      <c r="L101" s="1825">
        <f>SUM(L102:L107)</f>
        <v>3056150</v>
      </c>
      <c r="M101" s="1805"/>
      <c r="N101" s="1825">
        <f>SUM(N102:N107)</f>
        <v>3056150</v>
      </c>
      <c r="O101" s="1826"/>
      <c r="P101" s="1826"/>
      <c r="Q101" s="1825">
        <f>Q11*69%</f>
        <v>31387.409999999996</v>
      </c>
      <c r="R101" s="1825">
        <f>SUM(N101:Q101)</f>
        <v>3087537.41</v>
      </c>
      <c r="S101" s="1817" t="e">
        <f>L101*100/L11</f>
        <v>#VALUE!</v>
      </c>
      <c r="T101" s="1817" t="e">
        <f>R101*100/R11</f>
        <v>#VALUE!</v>
      </c>
    </row>
    <row r="102" spans="1:22" ht="43.5" customHeight="1">
      <c r="A102" s="1789"/>
      <c r="B102" s="1837"/>
      <c r="C102" s="1837" t="s">
        <v>854</v>
      </c>
      <c r="D102" s="1837"/>
      <c r="E102" s="1831"/>
      <c r="F102" s="1807">
        <v>307955</v>
      </c>
      <c r="G102" s="1807">
        <v>319420</v>
      </c>
      <c r="H102" s="1807"/>
      <c r="I102" s="1809"/>
      <c r="J102" s="1807"/>
      <c r="K102" s="1809"/>
      <c r="L102" s="1830">
        <f>'Plan 2014-17 Wydatki'!U31/1000</f>
        <v>2985000</v>
      </c>
      <c r="M102" s="1830">
        <f>'Plan 2014-17 Wydatki'!V31/1000</f>
        <v>0</v>
      </c>
      <c r="N102" s="1830">
        <f t="shared" ref="N102:N107" si="2">SUM(L102:M102)</f>
        <v>2985000</v>
      </c>
      <c r="O102" s="1806"/>
      <c r="P102" s="1806"/>
      <c r="Q102" s="1806"/>
      <c r="R102" s="1806"/>
    </row>
    <row r="103" spans="1:22" ht="43.5" customHeight="1">
      <c r="A103" s="1789"/>
      <c r="B103" s="1837"/>
      <c r="C103" s="1837" t="s">
        <v>855</v>
      </c>
      <c r="D103" s="1837"/>
      <c r="E103" s="1831"/>
      <c r="F103" s="1807">
        <v>8292</v>
      </c>
      <c r="G103" s="1807">
        <v>0</v>
      </c>
      <c r="H103" s="1807"/>
      <c r="I103" s="1809"/>
      <c r="J103" s="1807"/>
      <c r="K103" s="1809"/>
      <c r="L103" s="1830">
        <v>0</v>
      </c>
      <c r="M103" s="1830">
        <f>'Plan 2014-17 Wydatki'!V22/1000</f>
        <v>0</v>
      </c>
      <c r="N103" s="1830">
        <f t="shared" si="2"/>
        <v>0</v>
      </c>
      <c r="O103" s="1806"/>
      <c r="P103" s="1806"/>
      <c r="Q103" s="1806"/>
      <c r="R103" s="1806"/>
      <c r="V103" s="1811"/>
    </row>
    <row r="104" spans="1:22" ht="43.5" customHeight="1">
      <c r="A104" s="1789"/>
      <c r="B104" s="1837"/>
      <c r="C104" s="1837" t="s">
        <v>856</v>
      </c>
      <c r="D104" s="1837"/>
      <c r="E104" s="1837"/>
      <c r="F104" s="1807">
        <v>331</v>
      </c>
      <c r="G104" s="1807">
        <v>324</v>
      </c>
      <c r="H104" s="1807"/>
      <c r="I104" s="1809"/>
      <c r="J104" s="1807"/>
      <c r="K104" s="1809"/>
      <c r="L104" s="1830">
        <f>'Plan 2014-17 Wydatki'!U25/1000</f>
        <v>57000</v>
      </c>
      <c r="M104" s="1830">
        <f>'Plan 2014-17 Wydatki'!V25/1000</f>
        <v>0</v>
      </c>
      <c r="N104" s="1830">
        <f t="shared" si="2"/>
        <v>57000</v>
      </c>
      <c r="O104" s="1806"/>
      <c r="P104" s="1806"/>
      <c r="Q104" s="1806"/>
      <c r="R104" s="1806"/>
      <c r="V104" s="1811"/>
    </row>
    <row r="105" spans="1:22" ht="43.5" customHeight="1">
      <c r="A105" s="1789"/>
      <c r="B105" s="1837"/>
      <c r="C105" s="1837" t="s">
        <v>857</v>
      </c>
      <c r="D105" s="1837"/>
      <c r="E105" s="1831"/>
      <c r="F105" s="1807">
        <v>11516</v>
      </c>
      <c r="G105" s="1807">
        <v>7000</v>
      </c>
      <c r="H105" s="1807"/>
      <c r="I105" s="1809"/>
      <c r="J105" s="1807"/>
      <c r="K105" s="1809"/>
      <c r="L105" s="1830">
        <f>'Plan 2014-17 Wydatki'!U29/1000</f>
        <v>2500</v>
      </c>
      <c r="M105" s="1830">
        <f>'Plan 2014-17 Wydatki'!V29/1000</f>
        <v>0</v>
      </c>
      <c r="N105" s="1830">
        <f t="shared" si="2"/>
        <v>2500</v>
      </c>
      <c r="O105" s="1806"/>
      <c r="P105" s="1806"/>
      <c r="Q105" s="1806"/>
      <c r="R105" s="1806"/>
    </row>
    <row r="106" spans="1:22" ht="43.5" customHeight="1">
      <c r="A106" s="1789"/>
      <c r="B106" s="1837"/>
      <c r="C106" s="1837" t="s">
        <v>858</v>
      </c>
      <c r="D106" s="1837"/>
      <c r="E106" s="1831"/>
      <c r="F106" s="1807">
        <v>28861</v>
      </c>
      <c r="G106" s="1807">
        <v>22000</v>
      </c>
      <c r="H106" s="1807"/>
      <c r="I106" s="1809"/>
      <c r="J106" s="1807"/>
      <c r="K106" s="1809"/>
      <c r="L106" s="1830">
        <f>'Plan 2014-17 Wydatki'!U30/1000</f>
        <v>10000</v>
      </c>
      <c r="M106" s="1830">
        <f>'Plan 2014-17 Wydatki'!V30/1000</f>
        <v>0</v>
      </c>
      <c r="N106" s="1830">
        <f t="shared" si="2"/>
        <v>10000</v>
      </c>
      <c r="O106" s="1806"/>
      <c r="P106" s="1806"/>
      <c r="Q106" s="1806"/>
      <c r="R106" s="1806"/>
    </row>
    <row r="107" spans="1:22" ht="43.5" customHeight="1">
      <c r="A107" s="1789"/>
      <c r="B107" s="1837"/>
      <c r="C107" s="1827" t="s">
        <v>859</v>
      </c>
      <c r="D107" s="1837"/>
      <c r="E107" s="1837"/>
      <c r="F107" s="1807">
        <v>0</v>
      </c>
      <c r="G107" s="1807">
        <v>0</v>
      </c>
      <c r="H107" s="1808"/>
      <c r="I107" s="1809"/>
      <c r="J107" s="1808"/>
      <c r="K107" s="1809"/>
      <c r="L107" s="1832">
        <f>'Plan 2014-17 Wydatki'!U58/1000</f>
        <v>1650</v>
      </c>
      <c r="M107" s="1832">
        <f>'Plan 2014-17 Wydatki'!V58/1000</f>
        <v>0</v>
      </c>
      <c r="N107" s="1830">
        <f t="shared" si="2"/>
        <v>1650</v>
      </c>
      <c r="O107" s="1806"/>
      <c r="P107" s="1806"/>
      <c r="Q107" s="1806"/>
      <c r="R107" s="1806"/>
    </row>
    <row r="108" spans="1:22" ht="105.6">
      <c r="A108" s="1789"/>
      <c r="B108" s="1838" t="s">
        <v>860</v>
      </c>
      <c r="C108" s="1823" t="s">
        <v>1102</v>
      </c>
      <c r="D108" s="1824" t="s">
        <v>861</v>
      </c>
      <c r="E108" s="1839" t="s">
        <v>1003</v>
      </c>
      <c r="F108" s="1878">
        <f>F109/34628*100</f>
        <v>101.21000346540372</v>
      </c>
      <c r="G108" s="1878">
        <f>G109/35500*100</f>
        <v>101.40845070422534</v>
      </c>
      <c r="H108" s="1825">
        <f>J108+R108</f>
        <v>105299.06</v>
      </c>
      <c r="I108" s="1816">
        <f>K108+Q108+N108</f>
        <v>100979.26</v>
      </c>
      <c r="J108" s="1825">
        <f>J11*2%</f>
        <v>6789.28</v>
      </c>
      <c r="K108" s="1816">
        <f>K11*2%</f>
        <v>2469.48</v>
      </c>
      <c r="L108" s="1825">
        <f>SUM(L109)</f>
        <v>97600</v>
      </c>
      <c r="M108" s="1805"/>
      <c r="N108" s="1825">
        <f>SUM(N109)</f>
        <v>97600</v>
      </c>
      <c r="O108" s="1826"/>
      <c r="P108" s="1826"/>
      <c r="Q108" s="1825">
        <f>Q11*2%</f>
        <v>909.78</v>
      </c>
      <c r="R108" s="1825">
        <f>SUM(N108:Q108)</f>
        <v>98509.78</v>
      </c>
      <c r="S108" s="1817" t="e">
        <f>L108*100/L11</f>
        <v>#VALUE!</v>
      </c>
      <c r="T108" s="1817" t="e">
        <f>R108*100/R11</f>
        <v>#VALUE!</v>
      </c>
    </row>
    <row r="109" spans="1:22" ht="43.5" customHeight="1">
      <c r="A109" s="1789"/>
      <c r="B109" s="1837"/>
      <c r="C109" s="1837" t="s">
        <v>862</v>
      </c>
      <c r="D109" s="1837"/>
      <c r="E109" s="1837"/>
      <c r="F109" s="1807">
        <v>35047</v>
      </c>
      <c r="G109" s="1807">
        <v>36000</v>
      </c>
      <c r="H109" s="1807"/>
      <c r="I109" s="1809"/>
      <c r="J109" s="1807"/>
      <c r="K109" s="1809"/>
      <c r="L109" s="1830">
        <f>'Plan 2014-17 Wydatki'!U27/1000</f>
        <v>97600</v>
      </c>
      <c r="M109" s="1830">
        <f>'Plan 2014-17 Wydatki'!V27/1000</f>
        <v>0</v>
      </c>
      <c r="N109" s="1830">
        <f>SUM(L109:M109)</f>
        <v>97600</v>
      </c>
      <c r="O109" s="1806"/>
      <c r="P109" s="1806"/>
      <c r="Q109" s="1806"/>
      <c r="R109" s="1806"/>
    </row>
    <row r="110" spans="1:22" ht="57.6">
      <c r="A110" s="1789"/>
      <c r="B110" s="1839" t="s">
        <v>863</v>
      </c>
      <c r="C110" s="1823" t="s">
        <v>1103</v>
      </c>
      <c r="D110" s="1822" t="s">
        <v>864</v>
      </c>
      <c r="E110" s="1824" t="s">
        <v>865</v>
      </c>
      <c r="F110" s="1877">
        <f>SUM(F111:F114)</f>
        <v>8821</v>
      </c>
      <c r="G110" s="1877">
        <f>SUM(G111:G114)</f>
        <v>9367</v>
      </c>
      <c r="H110" s="1825">
        <f>J110+R110</f>
        <v>166136.12</v>
      </c>
      <c r="I110" s="1816">
        <f>K110+Q110+N110</f>
        <v>157496.51999999999</v>
      </c>
      <c r="J110" s="1825">
        <f>J11*4%</f>
        <v>13578.56</v>
      </c>
      <c r="K110" s="1816">
        <f>K11*4%</f>
        <v>4938.96</v>
      </c>
      <c r="L110" s="1825">
        <f>SUM(L111:L114)</f>
        <v>150738</v>
      </c>
      <c r="M110" s="1805"/>
      <c r="N110" s="1825">
        <f>SUM(N111:N114)</f>
        <v>150738</v>
      </c>
      <c r="O110" s="1826"/>
      <c r="P110" s="1826"/>
      <c r="Q110" s="1825">
        <f>Q11*4%</f>
        <v>1819.56</v>
      </c>
      <c r="R110" s="1825">
        <f>SUM(N110:Q110)</f>
        <v>152557.56</v>
      </c>
      <c r="S110" s="1817" t="e">
        <f>L110*100/L11</f>
        <v>#VALUE!</v>
      </c>
      <c r="T110" s="1817" t="e">
        <f>R110*100/R11</f>
        <v>#VALUE!</v>
      </c>
    </row>
    <row r="111" spans="1:22" ht="43.5" customHeight="1">
      <c r="A111" s="1789"/>
      <c r="B111" s="1845"/>
      <c r="C111" s="1827" t="s">
        <v>757</v>
      </c>
      <c r="D111" s="1846"/>
      <c r="E111" s="1831"/>
      <c r="F111" s="1807">
        <v>3466</v>
      </c>
      <c r="G111" s="1807">
        <v>3850</v>
      </c>
      <c r="H111" s="1807"/>
      <c r="I111" s="1809"/>
      <c r="J111" s="1807"/>
      <c r="K111" s="1809"/>
      <c r="L111" s="1828">
        <v>71707</v>
      </c>
      <c r="M111" s="1829">
        <f>('Plan 2014-17 Wydatki'!V14*10%)/1000</f>
        <v>0</v>
      </c>
      <c r="N111" s="1830">
        <f>SUM(L111:M111)</f>
        <v>71707</v>
      </c>
      <c r="O111" s="1806"/>
      <c r="P111" s="1806"/>
      <c r="Q111" s="1806"/>
      <c r="R111" s="1806"/>
      <c r="S111" s="1811">
        <f>L111+L38</f>
        <v>146341</v>
      </c>
      <c r="T111" s="1817">
        <f>L111*100/S111</f>
        <v>48.999938499805246</v>
      </c>
      <c r="U111" s="1817">
        <f>L38*100/S111</f>
        <v>51.000061500194754</v>
      </c>
    </row>
    <row r="112" spans="1:22" ht="43.5" customHeight="1">
      <c r="A112" s="1789"/>
      <c r="B112" s="1845"/>
      <c r="C112" s="1827" t="s">
        <v>758</v>
      </c>
      <c r="D112" s="1846"/>
      <c r="E112" s="1831"/>
      <c r="F112" s="1807">
        <v>0</v>
      </c>
      <c r="G112" s="1807">
        <v>0</v>
      </c>
      <c r="H112" s="1807"/>
      <c r="I112" s="1809"/>
      <c r="J112" s="1807"/>
      <c r="K112" s="1809"/>
      <c r="L112" s="1828">
        <v>1793</v>
      </c>
      <c r="M112" s="1829">
        <f>('Plan 2014-17 Wydatki'!V15*10%)/1000</f>
        <v>0</v>
      </c>
      <c r="N112" s="1830">
        <f>SUM(L112:M112)</f>
        <v>1793</v>
      </c>
      <c r="O112" s="1806"/>
      <c r="P112" s="1806"/>
      <c r="Q112" s="1806"/>
      <c r="R112" s="1806"/>
      <c r="S112" s="1786">
        <f>L112+L39</f>
        <v>3659</v>
      </c>
      <c r="T112" s="1817">
        <f>L112*100/S112</f>
        <v>49.002459688439465</v>
      </c>
      <c r="U112" s="1817">
        <f>L39*100/S112</f>
        <v>50.997540311560535</v>
      </c>
    </row>
    <row r="113" spans="1:21" ht="43.5" customHeight="1">
      <c r="A113" s="1789"/>
      <c r="B113" s="1845"/>
      <c r="C113" s="1827" t="s">
        <v>759</v>
      </c>
      <c r="D113" s="1846"/>
      <c r="E113" s="1831"/>
      <c r="F113" s="1807">
        <v>5355</v>
      </c>
      <c r="G113" s="1807">
        <v>5517</v>
      </c>
      <c r="H113" s="1807"/>
      <c r="I113" s="1809"/>
      <c r="J113" s="1807"/>
      <c r="K113" s="1809"/>
      <c r="L113" s="1828">
        <v>75354</v>
      </c>
      <c r="M113" s="1844">
        <f>('Plan 2014-17 Wydatki'!V17*10%)/1000</f>
        <v>0</v>
      </c>
      <c r="N113" s="1830">
        <f>SUM(L113:M113)</f>
        <v>75354</v>
      </c>
      <c r="O113" s="1806"/>
      <c r="P113" s="1806"/>
      <c r="Q113" s="1806"/>
      <c r="R113" s="1806"/>
      <c r="S113" s="1786">
        <f>L113+L40</f>
        <v>753540</v>
      </c>
      <c r="T113" s="1817">
        <f>L113*100/S113</f>
        <v>10</v>
      </c>
      <c r="U113" s="1817">
        <f>L40*100/S113</f>
        <v>90</v>
      </c>
    </row>
    <row r="114" spans="1:21" ht="43.5" customHeight="1">
      <c r="A114" s="1789"/>
      <c r="B114" s="1845"/>
      <c r="C114" s="1827" t="s">
        <v>760</v>
      </c>
      <c r="D114" s="1846"/>
      <c r="E114" s="1831" t="s">
        <v>565</v>
      </c>
      <c r="F114" s="1807">
        <v>0</v>
      </c>
      <c r="G114" s="1807">
        <v>0</v>
      </c>
      <c r="H114" s="1807"/>
      <c r="I114" s="1809"/>
      <c r="J114" s="1807"/>
      <c r="K114" s="1809"/>
      <c r="L114" s="1828">
        <v>1884</v>
      </c>
      <c r="M114" s="1844">
        <f>('Plan 2014-17 Wydatki'!V18*10%)/1000</f>
        <v>0</v>
      </c>
      <c r="N114" s="1830">
        <f>SUM(L114:M114)</f>
        <v>1884</v>
      </c>
      <c r="O114" s="1806"/>
      <c r="P114" s="1806"/>
      <c r="Q114" s="1806"/>
      <c r="R114" s="1806"/>
      <c r="S114" s="1786">
        <f>L114+L41</f>
        <v>18839</v>
      </c>
      <c r="T114" s="1817">
        <f>L114*100/S114</f>
        <v>10.000530813737459</v>
      </c>
      <c r="U114" s="1817">
        <f>L41*100/S114</f>
        <v>89.999469186262544</v>
      </c>
    </row>
    <row r="115" spans="1:21" ht="35.25" hidden="1" customHeight="1">
      <c r="A115" s="1789"/>
      <c r="B115" s="1798"/>
      <c r="C115" s="1798"/>
      <c r="D115" s="1798"/>
      <c r="E115" s="1798"/>
      <c r="F115" s="1808"/>
      <c r="G115" s="1808"/>
      <c r="H115" s="1808"/>
      <c r="I115" s="1808"/>
      <c r="J115" s="1808"/>
      <c r="K115" s="1808"/>
      <c r="L115" s="1832"/>
      <c r="M115" s="1832"/>
      <c r="N115" s="1832"/>
      <c r="O115" s="1806"/>
      <c r="P115" s="1806"/>
      <c r="Q115" s="1806"/>
      <c r="R115" s="1806"/>
    </row>
    <row r="116" spans="1:21" ht="9.9" hidden="1" customHeight="1">
      <c r="A116" s="1789"/>
      <c r="B116" s="1798">
        <v>16</v>
      </c>
      <c r="C116" s="1798" t="s">
        <v>866</v>
      </c>
      <c r="D116" s="1796"/>
      <c r="E116" s="1796"/>
      <c r="F116" s="1796"/>
      <c r="G116" s="1796"/>
      <c r="H116" s="1847"/>
      <c r="I116" s="1847"/>
      <c r="J116" s="1847"/>
      <c r="K116" s="1847"/>
    </row>
    <row r="117" spans="1:21" ht="57.9" hidden="1" customHeight="1">
      <c r="A117" s="1789"/>
      <c r="B117" s="2305" t="s">
        <v>867</v>
      </c>
      <c r="C117" s="2305" t="s">
        <v>868</v>
      </c>
      <c r="D117" s="1798" t="s">
        <v>869</v>
      </c>
      <c r="E117" s="1798" t="s">
        <v>870</v>
      </c>
      <c r="F117" s="1798" t="s">
        <v>871</v>
      </c>
      <c r="G117" s="1798" t="s">
        <v>872</v>
      </c>
      <c r="H117" s="1794"/>
      <c r="I117" s="1794"/>
      <c r="J117" s="1794"/>
      <c r="K117" s="1794"/>
    </row>
    <row r="118" spans="1:21" ht="57.9" hidden="1" customHeight="1">
      <c r="A118" s="1789"/>
      <c r="B118" s="2305"/>
      <c r="C118" s="2305"/>
      <c r="D118" s="1798" t="s">
        <v>873</v>
      </c>
      <c r="E118" s="1798" t="s">
        <v>874</v>
      </c>
      <c r="F118" s="1798" t="s">
        <v>875</v>
      </c>
      <c r="G118" s="1798" t="s">
        <v>876</v>
      </c>
      <c r="H118" s="1794"/>
      <c r="I118" s="1794"/>
      <c r="J118" s="1794"/>
      <c r="K118" s="1794"/>
    </row>
    <row r="119" spans="1:21" ht="87.9" hidden="1" customHeight="1">
      <c r="A119" s="1789"/>
      <c r="B119" s="1798" t="s">
        <v>877</v>
      </c>
      <c r="C119" s="1798" t="s">
        <v>878</v>
      </c>
      <c r="D119" s="1798" t="s">
        <v>879</v>
      </c>
      <c r="E119" s="1798" t="s">
        <v>880</v>
      </c>
      <c r="F119" s="1798" t="s">
        <v>881</v>
      </c>
      <c r="G119" s="1798" t="s">
        <v>882</v>
      </c>
      <c r="H119" s="1794"/>
      <c r="I119" s="1794"/>
      <c r="J119" s="1794"/>
      <c r="K119" s="1794"/>
    </row>
    <row r="120" spans="1:21" ht="29.1" hidden="1" customHeight="1">
      <c r="A120" s="1789"/>
      <c r="B120" s="1798" t="s">
        <v>883</v>
      </c>
      <c r="C120" s="1798" t="s">
        <v>884</v>
      </c>
      <c r="D120" s="1798"/>
      <c r="E120" s="1798"/>
      <c r="F120" s="1798"/>
      <c r="G120" s="1798"/>
      <c r="H120" s="1794"/>
      <c r="I120" s="1794"/>
      <c r="J120" s="1794"/>
      <c r="K120" s="1794"/>
    </row>
    <row r="121" spans="1:21" ht="29.1" hidden="1" customHeight="1">
      <c r="A121" s="1789"/>
      <c r="B121" s="1798" t="s">
        <v>885</v>
      </c>
      <c r="C121" s="1798" t="s">
        <v>886</v>
      </c>
      <c r="D121" s="1798"/>
      <c r="E121" s="1798"/>
      <c r="F121" s="1798"/>
      <c r="G121" s="1798"/>
      <c r="H121" s="1794"/>
      <c r="I121" s="1794"/>
      <c r="J121" s="1794"/>
      <c r="K121" s="1794"/>
    </row>
    <row r="122" spans="1:21" ht="29.1" hidden="1" customHeight="1">
      <c r="A122" s="1789"/>
      <c r="B122" s="1798" t="s">
        <v>887</v>
      </c>
      <c r="C122" s="1798" t="s">
        <v>888</v>
      </c>
      <c r="D122" s="1798"/>
      <c r="E122" s="1798"/>
      <c r="F122" s="1798"/>
      <c r="G122" s="1798"/>
      <c r="H122" s="1794"/>
      <c r="I122" s="1794"/>
      <c r="J122" s="1794"/>
      <c r="K122" s="1794"/>
    </row>
    <row r="123" spans="1:21" ht="29.1" hidden="1" customHeight="1">
      <c r="A123" s="1789"/>
      <c r="B123" s="1798" t="s">
        <v>889</v>
      </c>
      <c r="C123" s="1798" t="s">
        <v>890</v>
      </c>
      <c r="D123" s="1798"/>
      <c r="E123" s="1798"/>
      <c r="F123" s="1798"/>
      <c r="G123" s="1798"/>
      <c r="H123" s="1794"/>
      <c r="I123" s="1794"/>
      <c r="J123" s="1794"/>
      <c r="K123" s="1794"/>
    </row>
    <row r="124" spans="1:21" ht="29.1" hidden="1" customHeight="1">
      <c r="A124" s="1789"/>
      <c r="B124" s="1798" t="s">
        <v>891</v>
      </c>
      <c r="C124" s="1798" t="s">
        <v>892</v>
      </c>
      <c r="D124" s="1798"/>
      <c r="E124" s="1798"/>
      <c r="F124" s="1798"/>
      <c r="G124" s="1798"/>
      <c r="H124" s="1794"/>
      <c r="I124" s="1794"/>
      <c r="J124" s="1794"/>
      <c r="K124" s="1794"/>
    </row>
    <row r="125" spans="1:21" ht="39" hidden="1" customHeight="1">
      <c r="A125" s="1789"/>
      <c r="B125" s="1798" t="s">
        <v>893</v>
      </c>
      <c r="C125" s="1798" t="s">
        <v>894</v>
      </c>
      <c r="D125" s="1798"/>
      <c r="E125" s="1798"/>
      <c r="F125" s="1798"/>
      <c r="G125" s="1798"/>
      <c r="H125" s="1794"/>
      <c r="I125" s="1794"/>
      <c r="J125" s="1794"/>
      <c r="K125" s="1794"/>
    </row>
    <row r="126" spans="1:21" ht="9.9" hidden="1" customHeight="1">
      <c r="A126" s="1789"/>
      <c r="B126" s="1798" t="s">
        <v>895</v>
      </c>
      <c r="C126" s="1798" t="s">
        <v>896</v>
      </c>
      <c r="D126" s="1798"/>
      <c r="E126" s="1798"/>
      <c r="F126" s="1798"/>
      <c r="G126" s="1798"/>
      <c r="H126" s="1794"/>
      <c r="I126" s="1794"/>
      <c r="J126" s="1794"/>
      <c r="K126" s="1794"/>
    </row>
    <row r="127" spans="1:21" ht="48.9" hidden="1" customHeight="1">
      <c r="A127" s="1789"/>
      <c r="B127" s="1798" t="s">
        <v>897</v>
      </c>
      <c r="C127" s="1798" t="s">
        <v>898</v>
      </c>
      <c r="D127" s="1798" t="s">
        <v>899</v>
      </c>
      <c r="E127" s="1798" t="s">
        <v>900</v>
      </c>
      <c r="F127" s="1798" t="s">
        <v>901</v>
      </c>
      <c r="G127" s="1798" t="s">
        <v>902</v>
      </c>
      <c r="H127" s="1794"/>
      <c r="I127" s="1794"/>
      <c r="J127" s="1794"/>
      <c r="K127" s="1794"/>
    </row>
    <row r="128" spans="1:21" ht="29.1" hidden="1" customHeight="1">
      <c r="A128" s="1789"/>
      <c r="B128" s="1798" t="s">
        <v>903</v>
      </c>
      <c r="C128" s="1798" t="s">
        <v>904</v>
      </c>
      <c r="D128" s="1798"/>
      <c r="E128" s="1798"/>
      <c r="F128" s="1798"/>
      <c r="G128" s="1798"/>
      <c r="H128" s="1794"/>
      <c r="I128" s="1794"/>
      <c r="J128" s="1794"/>
      <c r="K128" s="1794"/>
    </row>
    <row r="129" spans="1:11" ht="48.9" hidden="1" customHeight="1">
      <c r="A129" s="1789"/>
      <c r="B129" s="1798" t="s">
        <v>905</v>
      </c>
      <c r="C129" s="1798" t="s">
        <v>906</v>
      </c>
      <c r="D129" s="1798"/>
      <c r="E129" s="1798"/>
      <c r="F129" s="1798"/>
      <c r="G129" s="1798"/>
      <c r="H129" s="1794"/>
      <c r="I129" s="1794"/>
      <c r="J129" s="1794"/>
      <c r="K129" s="1794"/>
    </row>
    <row r="130" spans="1:11" ht="68.099999999999994" hidden="1" customHeight="1">
      <c r="A130" s="1789"/>
      <c r="B130" s="1798" t="s">
        <v>907</v>
      </c>
      <c r="C130" s="1798" t="s">
        <v>908</v>
      </c>
      <c r="D130" s="1798"/>
      <c r="E130" s="1798"/>
      <c r="F130" s="1798"/>
      <c r="G130" s="1798"/>
      <c r="H130" s="1794"/>
      <c r="I130" s="1794"/>
      <c r="J130" s="1794"/>
      <c r="K130" s="1794"/>
    </row>
    <row r="131" spans="1:11" ht="98.1" hidden="1" customHeight="1">
      <c r="A131" s="1789"/>
      <c r="B131" s="1798" t="s">
        <v>909</v>
      </c>
      <c r="C131" s="1798" t="s">
        <v>910</v>
      </c>
      <c r="D131" s="1798" t="s">
        <v>911</v>
      </c>
      <c r="E131" s="1798" t="s">
        <v>912</v>
      </c>
      <c r="F131" s="1798" t="s">
        <v>913</v>
      </c>
      <c r="G131" s="1798" t="s">
        <v>914</v>
      </c>
      <c r="H131" s="1794"/>
      <c r="I131" s="1794"/>
      <c r="J131" s="1794"/>
      <c r="K131" s="1794"/>
    </row>
    <row r="132" spans="1:11" ht="29.1" hidden="1" customHeight="1">
      <c r="A132" s="1789"/>
      <c r="B132" s="1798" t="s">
        <v>915</v>
      </c>
      <c r="C132" s="1798" t="s">
        <v>916</v>
      </c>
      <c r="D132" s="1798"/>
      <c r="E132" s="1798"/>
      <c r="F132" s="1798"/>
      <c r="G132" s="1798"/>
      <c r="H132" s="1794"/>
      <c r="I132" s="1794"/>
      <c r="J132" s="1794"/>
      <c r="K132" s="1794"/>
    </row>
    <row r="133" spans="1:11" ht="20.100000000000001" hidden="1" customHeight="1">
      <c r="A133" s="1789"/>
      <c r="B133" s="1798" t="s">
        <v>917</v>
      </c>
      <c r="C133" s="1798" t="s">
        <v>918</v>
      </c>
      <c r="D133" s="1798"/>
      <c r="E133" s="1798"/>
      <c r="F133" s="1798"/>
      <c r="G133" s="1798"/>
      <c r="H133" s="1794"/>
      <c r="I133" s="1794"/>
      <c r="J133" s="1794"/>
      <c r="K133" s="1794"/>
    </row>
    <row r="134" spans="1:11" ht="29.1" hidden="1" customHeight="1">
      <c r="A134" s="1789"/>
      <c r="B134" s="1798">
        <v>22</v>
      </c>
      <c r="C134" s="1798" t="s">
        <v>919</v>
      </c>
      <c r="D134" s="1796"/>
      <c r="E134" s="1796"/>
      <c r="F134" s="1796"/>
      <c r="G134" s="1796"/>
      <c r="H134" s="1847"/>
      <c r="I134" s="1847"/>
      <c r="J134" s="1847"/>
      <c r="K134" s="1847"/>
    </row>
    <row r="135" spans="1:11" ht="87.9" hidden="1" customHeight="1">
      <c r="A135" s="1789"/>
      <c r="B135" s="1798" t="s">
        <v>920</v>
      </c>
      <c r="C135" s="1798" t="s">
        <v>921</v>
      </c>
      <c r="D135" s="1798" t="s">
        <v>922</v>
      </c>
      <c r="E135" s="1798" t="s">
        <v>923</v>
      </c>
      <c r="F135" s="1798" t="s">
        <v>924</v>
      </c>
      <c r="G135" s="1798" t="s">
        <v>925</v>
      </c>
      <c r="H135" s="1794"/>
      <c r="I135" s="1794"/>
      <c r="J135" s="1794"/>
      <c r="K135" s="1794"/>
    </row>
    <row r="136" spans="1:11" ht="57.9" hidden="1" customHeight="1">
      <c r="A136" s="1789"/>
      <c r="B136" s="1798" t="s">
        <v>926</v>
      </c>
      <c r="C136" s="1798" t="s">
        <v>927</v>
      </c>
      <c r="D136" s="1798" t="s">
        <v>928</v>
      </c>
      <c r="E136" s="1798" t="s">
        <v>929</v>
      </c>
      <c r="F136" s="1798" t="s">
        <v>924</v>
      </c>
      <c r="G136" s="1798" t="s">
        <v>925</v>
      </c>
      <c r="H136" s="1794"/>
      <c r="I136" s="1794"/>
      <c r="J136" s="1794"/>
      <c r="K136" s="1794"/>
    </row>
    <row r="137" spans="1:11" ht="9.9" hidden="1" customHeight="1">
      <c r="A137" s="1789"/>
      <c r="B137" s="1798" t="s">
        <v>930</v>
      </c>
      <c r="C137" s="1798" t="s">
        <v>931</v>
      </c>
      <c r="D137" s="1798"/>
      <c r="E137" s="1798"/>
      <c r="F137" s="1798"/>
      <c r="G137" s="1798"/>
      <c r="H137" s="1794"/>
      <c r="I137" s="1794"/>
      <c r="J137" s="1794"/>
      <c r="K137" s="1794"/>
    </row>
    <row r="138" spans="1:11" ht="20.100000000000001" hidden="1" customHeight="1">
      <c r="A138" s="1789"/>
      <c r="B138" s="1798" t="s">
        <v>932</v>
      </c>
      <c r="C138" s="1798" t="s">
        <v>933</v>
      </c>
      <c r="D138" s="1798"/>
      <c r="E138" s="1798"/>
      <c r="F138" s="1798"/>
      <c r="G138" s="1798"/>
      <c r="H138" s="1794"/>
      <c r="I138" s="1794"/>
      <c r="J138" s="1794"/>
      <c r="K138" s="1794"/>
    </row>
    <row r="139" spans="1:11" ht="107.1" hidden="1" customHeight="1">
      <c r="A139" s="1789"/>
      <c r="B139" s="1798" t="s">
        <v>934</v>
      </c>
      <c r="C139" s="1798" t="s">
        <v>935</v>
      </c>
      <c r="D139" s="1798"/>
      <c r="E139" s="1798"/>
      <c r="F139" s="1798"/>
      <c r="G139" s="1798"/>
      <c r="H139" s="1794"/>
      <c r="I139" s="1794"/>
      <c r="J139" s="1794"/>
      <c r="K139" s="1794"/>
    </row>
    <row r="140" spans="1:11" ht="20.100000000000001" hidden="1" customHeight="1">
      <c r="A140" s="1789"/>
      <c r="B140" s="1798" t="s">
        <v>936</v>
      </c>
      <c r="C140" s="1798" t="s">
        <v>937</v>
      </c>
      <c r="D140" s="1798"/>
      <c r="E140" s="1798"/>
      <c r="F140" s="1798"/>
      <c r="G140" s="1798"/>
      <c r="H140" s="1794"/>
      <c r="I140" s="1794"/>
      <c r="J140" s="1794"/>
      <c r="K140" s="1794"/>
    </row>
    <row r="141" spans="1:11" ht="48.9" hidden="1" customHeight="1">
      <c r="A141" s="1789"/>
      <c r="B141" s="1798" t="s">
        <v>938</v>
      </c>
      <c r="C141" s="1798" t="s">
        <v>939</v>
      </c>
      <c r="D141" s="1798" t="s">
        <v>940</v>
      </c>
      <c r="E141" s="1798" t="s">
        <v>923</v>
      </c>
      <c r="F141" s="1798" t="s">
        <v>924</v>
      </c>
      <c r="G141" s="1798" t="s">
        <v>925</v>
      </c>
      <c r="H141" s="1794"/>
      <c r="I141" s="1794"/>
      <c r="J141" s="1794"/>
      <c r="K141" s="1794"/>
    </row>
    <row r="142" spans="1:11" ht="57.9" hidden="1" customHeight="1">
      <c r="A142" s="1789"/>
      <c r="B142" s="1798" t="s">
        <v>941</v>
      </c>
      <c r="C142" s="1798" t="s">
        <v>942</v>
      </c>
      <c r="D142" s="1798" t="s">
        <v>943</v>
      </c>
      <c r="E142" s="1798" t="s">
        <v>929</v>
      </c>
      <c r="F142" s="1798" t="s">
        <v>924</v>
      </c>
      <c r="G142" s="1798" t="s">
        <v>925</v>
      </c>
      <c r="H142" s="1794"/>
      <c r="I142" s="1794"/>
      <c r="J142" s="1794"/>
      <c r="K142" s="1794"/>
    </row>
    <row r="143" spans="1:11" ht="78" hidden="1" customHeight="1">
      <c r="A143" s="1789"/>
      <c r="B143" s="1798" t="s">
        <v>944</v>
      </c>
      <c r="C143" s="1798" t="s">
        <v>945</v>
      </c>
      <c r="D143" s="1798"/>
      <c r="E143" s="1798"/>
      <c r="F143" s="1798"/>
      <c r="G143" s="1798"/>
      <c r="H143" s="1794"/>
      <c r="I143" s="1794"/>
      <c r="J143" s="1794"/>
      <c r="K143" s="1794"/>
    </row>
    <row r="144" spans="1:11" ht="98.1" hidden="1" customHeight="1">
      <c r="A144" s="1789"/>
      <c r="B144" s="1798" t="s">
        <v>946</v>
      </c>
      <c r="C144" s="1798" t="s">
        <v>947</v>
      </c>
      <c r="D144" s="1798"/>
      <c r="E144" s="1798"/>
      <c r="F144" s="1798"/>
      <c r="G144" s="1798"/>
      <c r="H144" s="1794"/>
      <c r="I144" s="1794"/>
      <c r="J144" s="1794"/>
      <c r="K144" s="1794"/>
    </row>
    <row r="145" spans="1:19" ht="29.1" hidden="1" customHeight="1">
      <c r="A145" s="1789"/>
      <c r="B145" s="1798" t="s">
        <v>948</v>
      </c>
      <c r="C145" s="1798" t="s">
        <v>949</v>
      </c>
      <c r="D145" s="1798"/>
      <c r="E145" s="1798"/>
      <c r="F145" s="1798"/>
      <c r="G145" s="1798"/>
      <c r="H145" s="1794"/>
      <c r="I145" s="1794"/>
      <c r="J145" s="1794"/>
      <c r="K145" s="1794"/>
    </row>
    <row r="146" spans="1:19" ht="57.9" hidden="1" customHeight="1">
      <c r="A146" s="1789"/>
      <c r="B146" s="1798" t="s">
        <v>950</v>
      </c>
      <c r="C146" s="1798" t="s">
        <v>951</v>
      </c>
      <c r="D146" s="1798"/>
      <c r="E146" s="1798"/>
      <c r="F146" s="1798"/>
      <c r="G146" s="1798"/>
      <c r="H146" s="1794"/>
      <c r="I146" s="1794"/>
      <c r="J146" s="1794"/>
      <c r="K146" s="1794"/>
    </row>
    <row r="147" spans="1:19" ht="98.1" hidden="1" customHeight="1">
      <c r="A147" s="1789"/>
      <c r="B147" s="1798" t="s">
        <v>952</v>
      </c>
      <c r="C147" s="1798" t="s">
        <v>953</v>
      </c>
      <c r="D147" s="1798"/>
      <c r="E147" s="1798"/>
      <c r="F147" s="1798"/>
      <c r="G147" s="1798"/>
      <c r="H147" s="1794"/>
      <c r="I147" s="1794"/>
      <c r="J147" s="1794"/>
      <c r="K147" s="1794"/>
    </row>
    <row r="148" spans="1:19" ht="29.1" hidden="1" customHeight="1">
      <c r="A148" s="1789"/>
      <c r="B148" s="1798" t="s">
        <v>954</v>
      </c>
      <c r="C148" s="1798" t="s">
        <v>955</v>
      </c>
      <c r="D148" s="1798"/>
      <c r="E148" s="1798"/>
      <c r="F148" s="1798"/>
      <c r="G148" s="1798"/>
      <c r="H148" s="1794"/>
      <c r="I148" s="1794"/>
      <c r="J148" s="1794"/>
      <c r="K148" s="1794"/>
    </row>
    <row r="149" spans="1:19" ht="68.099999999999994" hidden="1" customHeight="1">
      <c r="A149" s="1789"/>
      <c r="B149" s="1798" t="s">
        <v>956</v>
      </c>
      <c r="C149" s="1798" t="s">
        <v>957</v>
      </c>
      <c r="D149" s="1798" t="s">
        <v>958</v>
      </c>
      <c r="E149" s="1798" t="s">
        <v>923</v>
      </c>
      <c r="F149" s="1798" t="s">
        <v>924</v>
      </c>
      <c r="G149" s="1798" t="s">
        <v>925</v>
      </c>
      <c r="H149" s="1794"/>
      <c r="I149" s="1794"/>
      <c r="J149" s="1794"/>
      <c r="K149" s="1794"/>
    </row>
    <row r="150" spans="1:19" ht="39" hidden="1" customHeight="1">
      <c r="A150" s="1789"/>
      <c r="B150" s="1798" t="s">
        <v>959</v>
      </c>
      <c r="C150" s="1798" t="s">
        <v>960</v>
      </c>
      <c r="D150" s="1798" t="s">
        <v>961</v>
      </c>
      <c r="E150" s="1798" t="s">
        <v>929</v>
      </c>
      <c r="F150" s="1798" t="s">
        <v>924</v>
      </c>
      <c r="G150" s="1798" t="s">
        <v>925</v>
      </c>
      <c r="H150" s="1794"/>
      <c r="I150" s="1794"/>
      <c r="J150" s="1794"/>
      <c r="K150" s="1794"/>
    </row>
    <row r="151" spans="1:19" ht="29.1" hidden="1" customHeight="1">
      <c r="A151" s="1789"/>
      <c r="B151" s="1798" t="s">
        <v>962</v>
      </c>
      <c r="C151" s="1798" t="s">
        <v>963</v>
      </c>
      <c r="D151" s="1798"/>
      <c r="E151" s="1798"/>
      <c r="F151" s="1798"/>
      <c r="G151" s="1798"/>
      <c r="H151" s="1794"/>
      <c r="I151" s="1794"/>
      <c r="J151" s="1794"/>
      <c r="K151" s="1794"/>
    </row>
    <row r="152" spans="1:19" ht="68.099999999999994" hidden="1" customHeight="1">
      <c r="A152" s="1789"/>
      <c r="B152" s="1798" t="s">
        <v>964</v>
      </c>
      <c r="C152" s="1798" t="s">
        <v>965</v>
      </c>
      <c r="D152" s="1798"/>
      <c r="E152" s="1798"/>
      <c r="F152" s="1798"/>
      <c r="G152" s="1798"/>
      <c r="H152" s="1794"/>
      <c r="I152" s="1794"/>
      <c r="J152" s="1794"/>
      <c r="K152" s="1794"/>
    </row>
    <row r="153" spans="1:19" ht="48.9" hidden="1" customHeight="1">
      <c r="A153" s="1789"/>
      <c r="B153" s="1798" t="s">
        <v>966</v>
      </c>
      <c r="C153" s="1798" t="s">
        <v>967</v>
      </c>
      <c r="D153" s="1798" t="s">
        <v>968</v>
      </c>
      <c r="E153" s="1798" t="s">
        <v>969</v>
      </c>
      <c r="F153" s="1798" t="s">
        <v>970</v>
      </c>
      <c r="G153" s="1798" t="s">
        <v>639</v>
      </c>
      <c r="H153" s="1794"/>
      <c r="I153" s="1794"/>
      <c r="J153" s="1794"/>
      <c r="K153" s="1794"/>
    </row>
    <row r="154" spans="1:19" ht="9.9" hidden="1" customHeight="1">
      <c r="A154" s="1789"/>
      <c r="B154" s="1798" t="s">
        <v>971</v>
      </c>
      <c r="C154" s="1798"/>
      <c r="D154" s="1798"/>
      <c r="E154" s="1798"/>
      <c r="F154" s="1798"/>
      <c r="G154" s="1798"/>
      <c r="H154" s="1794"/>
      <c r="I154" s="1794"/>
      <c r="J154" s="1794"/>
      <c r="K154" s="1794"/>
    </row>
    <row r="155" spans="1:19" ht="9.9" hidden="1" customHeight="1">
      <c r="A155" s="1789"/>
      <c r="B155" s="1798" t="s">
        <v>972</v>
      </c>
      <c r="C155" s="1798"/>
      <c r="D155" s="1798"/>
      <c r="E155" s="1798"/>
      <c r="F155" s="1798"/>
      <c r="G155" s="1798"/>
      <c r="H155" s="1794"/>
      <c r="I155" s="1794"/>
      <c r="J155" s="1794"/>
      <c r="K155" s="1794"/>
    </row>
    <row r="156" spans="1:19" ht="12.75" customHeight="1">
      <c r="A156" s="1789"/>
      <c r="B156" s="1794"/>
      <c r="C156" s="1794"/>
      <c r="D156" s="1794"/>
      <c r="E156" s="1794"/>
      <c r="F156" s="1794"/>
      <c r="G156" s="1794"/>
      <c r="H156" s="1794"/>
      <c r="I156" s="1794"/>
      <c r="J156" s="1794"/>
      <c r="K156" s="1794"/>
    </row>
    <row r="157" spans="1:19" ht="15" hidden="1" customHeight="1"/>
    <row r="158" spans="1:19" ht="13.5" customHeight="1">
      <c r="B158" s="1786" t="s">
        <v>973</v>
      </c>
      <c r="C158" s="1786" t="s">
        <v>569</v>
      </c>
      <c r="G158" s="1811"/>
      <c r="H158" s="1811"/>
      <c r="I158" s="1811"/>
      <c r="J158" s="1811"/>
      <c r="K158" s="1811"/>
      <c r="S158" s="1811">
        <f>SUM(S111:S114)</f>
        <v>922379</v>
      </c>
    </row>
    <row r="159" spans="1:19" ht="14.25" customHeight="1">
      <c r="B159" s="1786" t="s">
        <v>974</v>
      </c>
    </row>
    <row r="160" spans="1:19" ht="15" customHeight="1">
      <c r="B160" s="1786" t="s">
        <v>975</v>
      </c>
    </row>
    <row r="161" spans="2:6" ht="15" customHeight="1">
      <c r="B161" s="1786" t="s">
        <v>976</v>
      </c>
    </row>
    <row r="162" spans="2:6" ht="7.5" customHeight="1"/>
    <row r="163" spans="2:6" ht="11.25" customHeight="1"/>
    <row r="174" spans="2:6">
      <c r="F174" s="1811"/>
    </row>
    <row r="175" spans="2:6" ht="21.75" customHeight="1">
      <c r="F175" s="1848"/>
    </row>
    <row r="179" spans="5:6">
      <c r="F179" s="1811"/>
    </row>
    <row r="183" spans="5:6">
      <c r="F183" s="1811"/>
    </row>
    <row r="190" spans="5:6">
      <c r="E190" s="1811"/>
      <c r="F190" s="1849"/>
    </row>
    <row r="192" spans="5:6">
      <c r="F192" s="1849"/>
    </row>
    <row r="194" spans="6:6">
      <c r="F194" s="1849"/>
    </row>
  </sheetData>
  <dataConsolidate leftLabels="1"/>
  <mergeCells count="24">
    <mergeCell ref="B10:G10"/>
    <mergeCell ref="B117:B118"/>
    <mergeCell ref="C117:C118"/>
    <mergeCell ref="H6:R6"/>
    <mergeCell ref="E7:E8"/>
    <mergeCell ref="F7:F8"/>
    <mergeCell ref="G7:G8"/>
    <mergeCell ref="H7:H8"/>
    <mergeCell ref="I7:I8"/>
    <mergeCell ref="J7:J8"/>
    <mergeCell ref="R7:R8"/>
    <mergeCell ref="B2:G2"/>
    <mergeCell ref="B3:G3"/>
    <mergeCell ref="B5:G5"/>
    <mergeCell ref="B6:B8"/>
    <mergeCell ref="C6:C8"/>
    <mergeCell ref="D6:D8"/>
    <mergeCell ref="E6:G6"/>
    <mergeCell ref="K7:K8"/>
    <mergeCell ref="L7:L8"/>
    <mergeCell ref="M7:M8"/>
    <mergeCell ref="N7:N8"/>
    <mergeCell ref="O7:O8"/>
    <mergeCell ref="Q7:Q8"/>
  </mergeCells>
  <dataValidations xWindow="654" yWindow="808" count="2">
    <dataValidation allowBlank="1" showInputMessage="1" showErrorMessage="1" promptTitle="ALERT - %" prompt="W PRZYPADKU ZMIANY WARTOŚCI_x000a_PROCENTOWEJ NALEŻY ZMIENIĆ _x000a_RĘCZNIE NA NOWĄ WARTOŚĆ" sqref="J35:K35"/>
    <dataValidation allowBlank="1" showInputMessage="1" showErrorMessage="1" promptTitle="NIE ZMIENIAĆ !!!" prompt="Kwota stała ustalona z księgowością." sqref="L38:L41 L111:L114"/>
  </dataValidations>
  <printOptions horizontalCentered="1"/>
  <pageMargins left="7.874015748031496E-2" right="7.874015748031496E-2" top="0.11811023622047245" bottom="0.31496062992125984" header="7.874015748031496E-2" footer="0"/>
  <pageSetup paperSize="9" scale="4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view="pageBreakPreview" topLeftCell="A16" zoomScale="85" zoomScaleNormal="100" zoomScaleSheetLayoutView="85" workbookViewId="0">
      <selection activeCell="I3" sqref="I3:K3"/>
    </sheetView>
  </sheetViews>
  <sheetFormatPr defaultColWidth="9" defaultRowHeight="13.8"/>
  <cols>
    <col min="1" max="1" width="6.69921875" style="806" customWidth="1"/>
    <col min="2" max="2" width="20.8984375" style="782" customWidth="1"/>
    <col min="3" max="3" width="23.69921875" style="782" customWidth="1"/>
    <col min="4" max="4" width="9.59765625" style="782" customWidth="1"/>
    <col min="5" max="5" width="8.5" style="782" customWidth="1"/>
    <col min="6" max="7" width="8.5" style="806" customWidth="1"/>
    <col min="8" max="8" width="11.19921875" style="782" customWidth="1"/>
    <col min="9" max="11" width="9.8984375" style="782" customWidth="1"/>
    <col min="12" max="12" width="11.8984375" style="782" customWidth="1"/>
    <col min="13" max="14" width="11.59765625" style="782" customWidth="1"/>
    <col min="15" max="15" width="12.19921875" style="782" customWidth="1"/>
    <col min="16" max="16" width="8.3984375" style="782" customWidth="1"/>
    <col min="17" max="16384" width="9" style="782"/>
  </cols>
  <sheetData>
    <row r="1" spans="1:16" ht="13.5" customHeight="1">
      <c r="A1" s="781"/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</row>
    <row r="2" spans="1:16" ht="13.5" customHeight="1">
      <c r="A2" s="783" t="s">
        <v>980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</row>
    <row r="3" spans="1:16">
      <c r="A3" s="2321" t="s">
        <v>981</v>
      </c>
      <c r="B3" s="2324" t="s">
        <v>675</v>
      </c>
      <c r="C3" s="2324" t="s">
        <v>676</v>
      </c>
      <c r="D3" s="2327"/>
      <c r="E3" s="2327"/>
      <c r="F3" s="2327"/>
      <c r="G3" s="2328"/>
      <c r="H3" s="2333" t="s">
        <v>982</v>
      </c>
      <c r="I3" s="2334"/>
      <c r="J3" s="2334"/>
      <c r="K3" s="2334"/>
      <c r="L3" s="2334"/>
      <c r="M3" s="2334"/>
      <c r="N3" s="2334"/>
      <c r="O3" s="2334"/>
      <c r="P3" s="2334"/>
    </row>
    <row r="4" spans="1:16" ht="21.75" customHeight="1">
      <c r="A4" s="2322"/>
      <c r="B4" s="2325"/>
      <c r="C4" s="2325"/>
      <c r="D4" s="2329"/>
      <c r="E4" s="2329"/>
      <c r="F4" s="2329"/>
      <c r="G4" s="2330"/>
      <c r="H4" s="2314" t="s">
        <v>977</v>
      </c>
      <c r="I4" s="2335"/>
      <c r="J4" s="2335"/>
      <c r="K4" s="2335"/>
      <c r="L4" s="2335"/>
      <c r="M4" s="2335"/>
      <c r="N4" s="2335"/>
      <c r="O4" s="2335"/>
      <c r="P4" s="2335"/>
    </row>
    <row r="5" spans="1:16">
      <c r="A5" s="2322"/>
      <c r="B5" s="2325"/>
      <c r="C5" s="2326"/>
      <c r="D5" s="2331"/>
      <c r="E5" s="2331"/>
      <c r="F5" s="2331"/>
      <c r="G5" s="2332"/>
      <c r="H5" s="2336" t="s">
        <v>9</v>
      </c>
      <c r="I5" s="2336"/>
      <c r="J5" s="2336"/>
      <c r="K5" s="2336"/>
      <c r="L5" s="2336"/>
      <c r="M5" s="2336"/>
      <c r="N5" s="2336"/>
      <c r="O5" s="2336"/>
      <c r="P5" s="2336"/>
    </row>
    <row r="6" spans="1:16" ht="24" customHeight="1">
      <c r="A6" s="2322"/>
      <c r="B6" s="2325"/>
      <c r="C6" s="2337" t="s">
        <v>677</v>
      </c>
      <c r="D6" s="2337" t="s">
        <v>983</v>
      </c>
      <c r="E6" s="2315" t="s">
        <v>984</v>
      </c>
      <c r="F6" s="2316"/>
      <c r="G6" s="2338"/>
      <c r="H6" s="2313" t="s">
        <v>985</v>
      </c>
      <c r="I6" s="2315" t="s">
        <v>104</v>
      </c>
      <c r="J6" s="2316"/>
      <c r="K6" s="2316"/>
      <c r="L6" s="2313"/>
      <c r="M6" s="2315" t="s">
        <v>986</v>
      </c>
      <c r="N6" s="2313"/>
      <c r="O6" s="2317" t="s">
        <v>987</v>
      </c>
      <c r="P6" s="2319" t="s">
        <v>988</v>
      </c>
    </row>
    <row r="7" spans="1:16" ht="41.4">
      <c r="A7" s="2323"/>
      <c r="B7" s="2326"/>
      <c r="C7" s="2337"/>
      <c r="D7" s="2337"/>
      <c r="E7" s="1784" t="s">
        <v>977</v>
      </c>
      <c r="F7" s="1784" t="s">
        <v>978</v>
      </c>
      <c r="G7" s="1785" t="s">
        <v>979</v>
      </c>
      <c r="H7" s="2314"/>
      <c r="I7" s="1784" t="s">
        <v>989</v>
      </c>
      <c r="J7" s="1784" t="s">
        <v>990</v>
      </c>
      <c r="K7" s="1784" t="s">
        <v>991</v>
      </c>
      <c r="L7" s="1784" t="s">
        <v>992</v>
      </c>
      <c r="M7" s="1784" t="s">
        <v>993</v>
      </c>
      <c r="N7" s="1784" t="s">
        <v>994</v>
      </c>
      <c r="O7" s="2318"/>
      <c r="P7" s="2320"/>
    </row>
    <row r="8" spans="1:16" ht="13.5" customHeight="1">
      <c r="A8" s="784">
        <v>1</v>
      </c>
      <c r="B8" s="784">
        <v>2</v>
      </c>
      <c r="C8" s="784">
        <v>3</v>
      </c>
      <c r="D8" s="784">
        <v>4</v>
      </c>
      <c r="E8" s="784">
        <v>5</v>
      </c>
      <c r="F8" s="784">
        <v>6</v>
      </c>
      <c r="G8" s="1850">
        <v>7</v>
      </c>
      <c r="H8" s="1851">
        <v>8</v>
      </c>
      <c r="I8" s="1852">
        <v>9</v>
      </c>
      <c r="J8" s="1852">
        <v>10</v>
      </c>
      <c r="K8" s="1852">
        <v>11</v>
      </c>
      <c r="L8" s="1852">
        <v>12</v>
      </c>
      <c r="M8" s="1852">
        <v>13</v>
      </c>
      <c r="N8" s="1852">
        <v>14</v>
      </c>
      <c r="O8" s="1852">
        <v>15</v>
      </c>
      <c r="P8" s="1853">
        <v>16</v>
      </c>
    </row>
    <row r="9" spans="1:16" ht="68.25" customHeight="1">
      <c r="A9" s="785" t="s">
        <v>52</v>
      </c>
      <c r="B9" s="786"/>
      <c r="C9" s="786"/>
      <c r="D9" s="787"/>
      <c r="E9" s="787"/>
      <c r="F9" s="787"/>
      <c r="G9" s="1854"/>
      <c r="H9" s="788" t="e">
        <f t="shared" ref="H9:H18" si="0">I9+M9+O9+P9</f>
        <v>#VALUE!</v>
      </c>
      <c r="I9" s="789"/>
      <c r="J9" s="789"/>
      <c r="K9" s="789"/>
      <c r="L9" s="789"/>
      <c r="M9" s="789"/>
      <c r="N9" s="789"/>
      <c r="O9" s="789"/>
      <c r="P9" s="790" t="e">
        <f>SUM(P10)</f>
        <v>#VALUE!</v>
      </c>
    </row>
    <row r="10" spans="1:16" ht="81" customHeight="1">
      <c r="A10" s="785" t="s">
        <v>995</v>
      </c>
      <c r="B10" s="786"/>
      <c r="C10" s="786"/>
      <c r="D10" s="791"/>
      <c r="E10" s="791"/>
      <c r="F10" s="791"/>
      <c r="G10" s="1855"/>
      <c r="H10" s="788" t="e">
        <f t="shared" si="0"/>
        <v>#VALUE!</v>
      </c>
      <c r="I10" s="789"/>
      <c r="J10" s="789"/>
      <c r="K10" s="789"/>
      <c r="L10" s="789"/>
      <c r="M10" s="789"/>
      <c r="N10" s="789"/>
      <c r="O10" s="789"/>
      <c r="P10" s="790" t="e">
        <f>SUM(P11:P13)</f>
        <v>#VALUE!</v>
      </c>
    </row>
    <row r="11" spans="1:16" ht="81" customHeight="1">
      <c r="A11" s="785" t="s">
        <v>996</v>
      </c>
      <c r="B11" s="786"/>
      <c r="C11" s="786"/>
      <c r="D11" s="791"/>
      <c r="E11" s="791"/>
      <c r="F11" s="791"/>
      <c r="G11" s="1855"/>
      <c r="H11" s="788">
        <f t="shared" si="0"/>
        <v>837083.01</v>
      </c>
      <c r="I11" s="789"/>
      <c r="J11" s="789"/>
      <c r="K11" s="789"/>
      <c r="L11" s="789"/>
      <c r="M11" s="789"/>
      <c r="N11" s="789"/>
      <c r="O11" s="789"/>
      <c r="P11" s="790">
        <f>'BZ-zmiany (2)'!H37</f>
        <v>837083.01</v>
      </c>
    </row>
    <row r="12" spans="1:16" ht="68.25" customHeight="1">
      <c r="A12" s="785" t="s">
        <v>997</v>
      </c>
      <c r="B12" s="786"/>
      <c r="C12" s="786"/>
      <c r="D12" s="791"/>
      <c r="E12" s="791"/>
      <c r="F12" s="791"/>
      <c r="G12" s="1855"/>
      <c r="H12" s="788">
        <f t="shared" si="0"/>
        <v>170793.12</v>
      </c>
      <c r="I12" s="789"/>
      <c r="J12" s="789"/>
      <c r="K12" s="789"/>
      <c r="L12" s="789"/>
      <c r="M12" s="789"/>
      <c r="N12" s="789"/>
      <c r="O12" s="789"/>
      <c r="P12" s="790">
        <f>'BZ-zmiany (2)'!H42</f>
        <v>170793.12</v>
      </c>
    </row>
    <row r="13" spans="1:16" ht="67.5" customHeight="1">
      <c r="A13" s="785" t="s">
        <v>998</v>
      </c>
      <c r="B13" s="786"/>
      <c r="C13" s="786"/>
      <c r="D13" s="791"/>
      <c r="E13" s="791"/>
      <c r="F13" s="791"/>
      <c r="G13" s="1855"/>
      <c r="H13" s="788" t="e">
        <f t="shared" si="0"/>
        <v>#VALUE!</v>
      </c>
      <c r="I13" s="789"/>
      <c r="J13" s="789"/>
      <c r="K13" s="789"/>
      <c r="L13" s="789"/>
      <c r="M13" s="789"/>
      <c r="N13" s="789"/>
      <c r="O13" s="789"/>
      <c r="P13" s="790" t="e">
        <f>'BZ-zmiany (2)'!H92</f>
        <v>#VALUE!</v>
      </c>
    </row>
    <row r="14" spans="1:16" ht="42.75" customHeight="1">
      <c r="A14" s="785" t="s">
        <v>999</v>
      </c>
      <c r="B14" s="786"/>
      <c r="C14" s="786"/>
      <c r="D14" s="791"/>
      <c r="E14" s="791"/>
      <c r="F14" s="791"/>
      <c r="G14" s="1855"/>
      <c r="H14" s="788">
        <f t="shared" si="0"/>
        <v>3593202.7500000005</v>
      </c>
      <c r="I14" s="789">
        <f>SUM(I15)</f>
        <v>745360</v>
      </c>
      <c r="J14" s="792">
        <v>44</v>
      </c>
      <c r="K14" s="792">
        <v>853</v>
      </c>
      <c r="L14" s="793">
        <v>85324</v>
      </c>
      <c r="M14" s="789"/>
      <c r="N14" s="789"/>
      <c r="O14" s="789">
        <f>SUM(O15)</f>
        <v>0</v>
      </c>
      <c r="P14" s="790">
        <f>SUM(P15)</f>
        <v>2847842.7500000005</v>
      </c>
    </row>
    <row r="15" spans="1:16" ht="54.75" customHeight="1">
      <c r="A15" s="785" t="s">
        <v>1000</v>
      </c>
      <c r="B15" s="786"/>
      <c r="C15" s="786"/>
      <c r="D15" s="791"/>
      <c r="E15" s="791"/>
      <c r="F15" s="791"/>
      <c r="G15" s="1855"/>
      <c r="H15" s="788">
        <f t="shared" si="0"/>
        <v>3593202.7500000005</v>
      </c>
      <c r="I15" s="789">
        <f>SUM(I16:I18)</f>
        <v>745360</v>
      </c>
      <c r="J15" s="792">
        <v>44</v>
      </c>
      <c r="K15" s="792">
        <v>853</v>
      </c>
      <c r="L15" s="793">
        <v>85324</v>
      </c>
      <c r="M15" s="789"/>
      <c r="N15" s="789"/>
      <c r="O15" s="789">
        <f>SUM(O16:O18)</f>
        <v>0</v>
      </c>
      <c r="P15" s="790">
        <f>SUM(P16:P18)</f>
        <v>2847842.7500000005</v>
      </c>
    </row>
    <row r="16" spans="1:16" ht="67.5" customHeight="1">
      <c r="A16" s="785" t="s">
        <v>1001</v>
      </c>
      <c r="B16" s="786"/>
      <c r="C16" s="786"/>
      <c r="D16" s="791"/>
      <c r="E16" s="791"/>
      <c r="F16" s="791"/>
      <c r="G16" s="1855"/>
      <c r="H16" s="788">
        <f t="shared" si="0"/>
        <v>3321767.5700000003</v>
      </c>
      <c r="I16" s="789">
        <f>'Pl 2016-20 PFC'!I92/1000</f>
        <v>745360</v>
      </c>
      <c r="J16" s="792">
        <v>44</v>
      </c>
      <c r="K16" s="792">
        <v>853</v>
      </c>
      <c r="L16" s="793">
        <v>85324</v>
      </c>
      <c r="M16" s="789"/>
      <c r="N16" s="789"/>
      <c r="O16" s="789">
        <f>'Pl 2016-20 PFC'!I97</f>
        <v>0</v>
      </c>
      <c r="P16" s="790">
        <f>'BZ-zmiany (2)'!H101-I16-O16</f>
        <v>2576407.5700000003</v>
      </c>
    </row>
    <row r="17" spans="1:16" ht="144" customHeight="1">
      <c r="A17" s="785" t="s">
        <v>1002</v>
      </c>
      <c r="B17" s="786"/>
      <c r="C17" s="786"/>
      <c r="D17" s="794"/>
      <c r="E17" s="794"/>
      <c r="F17" s="794"/>
      <c r="G17" s="1856"/>
      <c r="H17" s="788">
        <f t="shared" si="0"/>
        <v>105299.06</v>
      </c>
      <c r="I17" s="789"/>
      <c r="J17" s="789"/>
      <c r="K17" s="789"/>
      <c r="L17" s="789"/>
      <c r="M17" s="789"/>
      <c r="N17" s="789"/>
      <c r="O17" s="789"/>
      <c r="P17" s="790">
        <f>'BZ-zmiany (2)'!H108</f>
        <v>105299.06</v>
      </c>
    </row>
    <row r="18" spans="1:16" ht="78.75" customHeight="1">
      <c r="A18" s="785" t="s">
        <v>1004</v>
      </c>
      <c r="B18" s="786"/>
      <c r="C18" s="786"/>
      <c r="D18" s="791"/>
      <c r="E18" s="791"/>
      <c r="F18" s="791"/>
      <c r="G18" s="1855"/>
      <c r="H18" s="788">
        <f t="shared" si="0"/>
        <v>166136.12</v>
      </c>
      <c r="I18" s="789"/>
      <c r="J18" s="789"/>
      <c r="K18" s="789"/>
      <c r="L18" s="789"/>
      <c r="M18" s="789"/>
      <c r="N18" s="789"/>
      <c r="O18" s="789"/>
      <c r="P18" s="790">
        <f>'BZ-zmiany (2)'!H110</f>
        <v>166136.12</v>
      </c>
    </row>
    <row r="19" spans="1:16" s="801" customFormat="1" ht="28.5" customHeight="1">
      <c r="A19" s="795"/>
      <c r="B19" s="796"/>
      <c r="C19" s="796"/>
      <c r="D19" s="797"/>
      <c r="E19" s="797"/>
      <c r="F19" s="797"/>
      <c r="G19" s="1857"/>
      <c r="H19" s="798" t="e">
        <f>SUM(H9,H14)</f>
        <v>#VALUE!</v>
      </c>
      <c r="I19" s="799"/>
      <c r="J19" s="799"/>
      <c r="K19" s="799"/>
      <c r="L19" s="799"/>
      <c r="M19" s="799"/>
      <c r="N19" s="799"/>
      <c r="O19" s="799"/>
      <c r="P19" s="800"/>
    </row>
    <row r="20" spans="1:16" ht="13.5" customHeight="1">
      <c r="A20" s="785"/>
      <c r="B20" s="786"/>
      <c r="C20" s="786"/>
      <c r="D20" s="802"/>
      <c r="E20" s="802"/>
      <c r="F20" s="802"/>
      <c r="G20" s="1858"/>
      <c r="H20" s="803"/>
      <c r="I20" s="804"/>
      <c r="J20" s="804"/>
      <c r="K20" s="804"/>
      <c r="L20" s="804"/>
      <c r="M20" s="804"/>
      <c r="N20" s="804"/>
      <c r="O20" s="804"/>
      <c r="P20" s="805" t="s">
        <v>565</v>
      </c>
    </row>
    <row r="21" spans="1:16" ht="13.5" customHeight="1">
      <c r="A21" s="781"/>
      <c r="B21" s="781"/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</row>
    <row r="22" spans="1:16" ht="17.25" customHeight="1"/>
    <row r="23" spans="1:16" ht="17.25" customHeight="1">
      <c r="A23" s="782" t="s">
        <v>1108</v>
      </c>
    </row>
    <row r="24" spans="1:16">
      <c r="A24" s="782"/>
      <c r="B24" s="782" t="s">
        <v>1005</v>
      </c>
      <c r="D24" s="806"/>
    </row>
    <row r="25" spans="1:16">
      <c r="A25" s="782"/>
    </row>
    <row r="26" spans="1:16">
      <c r="A26" s="782" t="s">
        <v>1109</v>
      </c>
    </row>
    <row r="27" spans="1:16">
      <c r="A27" s="782"/>
    </row>
    <row r="28" spans="1:16">
      <c r="A28" s="782"/>
    </row>
    <row r="29" spans="1:16">
      <c r="A29" s="782"/>
    </row>
    <row r="30" spans="1:16">
      <c r="A30" s="782"/>
    </row>
    <row r="31" spans="1:16">
      <c r="A31" s="782"/>
    </row>
    <row r="32" spans="1:16">
      <c r="A32" s="782" t="s">
        <v>1006</v>
      </c>
    </row>
    <row r="33" spans="1:1">
      <c r="A33" s="782"/>
    </row>
    <row r="34" spans="1:1" ht="20.399999999999999" customHeight="1"/>
    <row r="35" spans="1:1" ht="20.399999999999999" customHeight="1"/>
  </sheetData>
  <mergeCells count="14">
    <mergeCell ref="A3:A7"/>
    <mergeCell ref="B3:B7"/>
    <mergeCell ref="C3:G5"/>
    <mergeCell ref="H3:P3"/>
    <mergeCell ref="H4:P4"/>
    <mergeCell ref="H5:P5"/>
    <mergeCell ref="C6:C7"/>
    <mergeCell ref="D6:D7"/>
    <mergeCell ref="E6:G6"/>
    <mergeCell ref="H6:H7"/>
    <mergeCell ref="I6:L6"/>
    <mergeCell ref="M6:N6"/>
    <mergeCell ref="O6:O7"/>
    <mergeCell ref="P6:P7"/>
  </mergeCells>
  <printOptions horizontalCentered="1"/>
  <pageMargins left="0.39370078740157483" right="0.39370078740157483" top="0.98425196850393704" bottom="0.6692913385826772" header="0.51181102362204722" footer="0.51181102362204722"/>
  <pageSetup paperSize="9" scale="43" firstPageNumber="2" pageOrder="overThenDown" orientation="landscape" useFirstPageNumber="1" r:id="rId1"/>
  <headerFooter alignWithMargins="0">
    <oddHeader xml:space="preserve">&amp;RZałącznik nr 2 do
Uchwały Nr         /2015
Zarządu PFRON
z dnia       02.06.2015 r.
projekt
</oddHeader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showGridLines="0" topLeftCell="A16" zoomScaleNormal="100" zoomScaleSheetLayoutView="40" workbookViewId="0">
      <selection activeCell="I3" sqref="I3:K3"/>
    </sheetView>
  </sheetViews>
  <sheetFormatPr defaultColWidth="9" defaultRowHeight="13.8"/>
  <cols>
    <col min="1" max="1" width="6.69921875" style="806" customWidth="1"/>
    <col min="2" max="2" width="20.8984375" style="782" customWidth="1"/>
    <col min="3" max="3" width="23.69921875" style="782" customWidth="1"/>
    <col min="4" max="4" width="7.19921875" style="782" customWidth="1"/>
    <col min="5" max="5" width="8.5" style="782" customWidth="1"/>
    <col min="6" max="7" width="8.5" style="806" customWidth="1"/>
    <col min="8" max="11" width="9.8984375" style="1929" customWidth="1"/>
    <col min="12" max="12" width="11.8984375" style="1929" customWidth="1"/>
    <col min="13" max="14" width="11.59765625" style="1929" customWidth="1"/>
    <col min="15" max="15" width="8.3984375" style="1929" customWidth="1"/>
    <col min="16" max="16" width="10" style="1929" bestFit="1" customWidth="1"/>
    <col min="17" max="17" width="9.09765625" style="782" hidden="1" customWidth="1"/>
    <col min="18" max="20" width="9.8984375" style="782" hidden="1" customWidth="1"/>
    <col min="21" max="21" width="11.8984375" style="782" hidden="1" customWidth="1"/>
    <col min="22" max="23" width="11.59765625" style="782" hidden="1" customWidth="1"/>
    <col min="24" max="25" width="8.3984375" style="782" hidden="1" customWidth="1"/>
    <col min="26" max="26" width="9.09765625" style="782" hidden="1" customWidth="1"/>
    <col min="27" max="29" width="9.8984375" style="782" hidden="1" customWidth="1"/>
    <col min="30" max="30" width="11.8984375" style="782" hidden="1" customWidth="1"/>
    <col min="31" max="32" width="11.59765625" style="782" hidden="1" customWidth="1"/>
    <col min="33" max="35" width="8.5" style="782" hidden="1" customWidth="1"/>
    <col min="36" max="48" width="0" style="782" hidden="1" customWidth="1"/>
    <col min="49" max="16384" width="9" style="782"/>
  </cols>
  <sheetData>
    <row r="1" spans="1:34" ht="13.5" customHeight="1">
      <c r="A1" s="781"/>
      <c r="B1" s="781"/>
      <c r="C1" s="781"/>
      <c r="D1" s="781"/>
      <c r="E1" s="781"/>
      <c r="F1" s="781"/>
      <c r="G1" s="781"/>
      <c r="H1" s="1887"/>
      <c r="I1" s="1887"/>
      <c r="J1" s="1887"/>
      <c r="K1" s="1887"/>
      <c r="L1" s="1887"/>
      <c r="M1" s="1887"/>
      <c r="N1" s="1887"/>
      <c r="O1" s="1887"/>
      <c r="P1" s="2377" t="s">
        <v>1105</v>
      </c>
    </row>
    <row r="2" spans="1:34" ht="13.5" customHeight="1" thickBot="1">
      <c r="A2" s="783" t="s">
        <v>980</v>
      </c>
      <c r="B2" s="781"/>
      <c r="C2" s="781"/>
      <c r="D2" s="781"/>
      <c r="E2" s="781"/>
      <c r="F2" s="781"/>
      <c r="G2" s="781"/>
      <c r="H2" s="1887"/>
      <c r="I2" s="1887"/>
      <c r="J2" s="1887"/>
      <c r="K2" s="1887"/>
      <c r="L2" s="1887"/>
      <c r="M2" s="1887"/>
      <c r="N2" s="1887"/>
      <c r="O2" s="1887"/>
      <c r="P2" s="2378"/>
      <c r="AH2" s="1888" t="s">
        <v>1105</v>
      </c>
    </row>
    <row r="3" spans="1:34" s="1889" customFormat="1" ht="9.6">
      <c r="A3" s="2350" t="s">
        <v>981</v>
      </c>
      <c r="B3" s="2353" t="s">
        <v>675</v>
      </c>
      <c r="C3" s="2356" t="s">
        <v>676</v>
      </c>
      <c r="D3" s="2357"/>
      <c r="E3" s="2357"/>
      <c r="F3" s="2357"/>
      <c r="G3" s="2358"/>
      <c r="H3" s="2365" t="s">
        <v>982</v>
      </c>
      <c r="I3" s="2365"/>
      <c r="J3" s="2365"/>
      <c r="K3" s="2365"/>
      <c r="L3" s="2365"/>
      <c r="M3" s="2365"/>
      <c r="N3" s="2365"/>
      <c r="O3" s="2365"/>
      <c r="P3" s="2365"/>
      <c r="Q3" s="2365"/>
      <c r="R3" s="2365"/>
      <c r="S3" s="2365"/>
      <c r="T3" s="2365"/>
      <c r="U3" s="2365"/>
      <c r="V3" s="2365"/>
      <c r="W3" s="2365"/>
      <c r="X3" s="2365"/>
      <c r="Y3" s="2365"/>
      <c r="Z3" s="2365"/>
      <c r="AA3" s="2365"/>
      <c r="AB3" s="2365"/>
      <c r="AC3" s="2365"/>
      <c r="AD3" s="2365"/>
      <c r="AE3" s="2365"/>
      <c r="AF3" s="2365"/>
      <c r="AG3" s="2365"/>
      <c r="AH3" s="2366"/>
    </row>
    <row r="4" spans="1:34" s="1889" customFormat="1" ht="21.75" customHeight="1">
      <c r="A4" s="2351"/>
      <c r="B4" s="2354"/>
      <c r="C4" s="2359"/>
      <c r="D4" s="2360"/>
      <c r="E4" s="2360"/>
      <c r="F4" s="2360"/>
      <c r="G4" s="2361"/>
      <c r="H4" s="2367" t="s">
        <v>977</v>
      </c>
      <c r="I4" s="2367"/>
      <c r="J4" s="2367"/>
      <c r="K4" s="2367"/>
      <c r="L4" s="2367"/>
      <c r="M4" s="2367"/>
      <c r="N4" s="2367"/>
      <c r="O4" s="2367"/>
      <c r="P4" s="2367"/>
      <c r="Q4" s="2368" t="s">
        <v>977</v>
      </c>
      <c r="R4" s="2368"/>
      <c r="S4" s="2368"/>
      <c r="T4" s="2368"/>
      <c r="U4" s="2368"/>
      <c r="V4" s="2368"/>
      <c r="W4" s="2368"/>
      <c r="X4" s="2368"/>
      <c r="Y4" s="2368"/>
      <c r="Z4" s="2368" t="s">
        <v>978</v>
      </c>
      <c r="AA4" s="2368"/>
      <c r="AB4" s="2368"/>
      <c r="AC4" s="2368"/>
      <c r="AD4" s="2368"/>
      <c r="AE4" s="2368"/>
      <c r="AF4" s="2368"/>
      <c r="AG4" s="2368"/>
      <c r="AH4" s="2369"/>
    </row>
    <row r="5" spans="1:34" s="1889" customFormat="1" ht="9.6">
      <c r="A5" s="2351"/>
      <c r="B5" s="2354"/>
      <c r="C5" s="2362"/>
      <c r="D5" s="2363"/>
      <c r="E5" s="2363"/>
      <c r="F5" s="2363"/>
      <c r="G5" s="2364"/>
      <c r="H5" s="2370" t="s">
        <v>9</v>
      </c>
      <c r="I5" s="2371"/>
      <c r="J5" s="2371"/>
      <c r="K5" s="2371"/>
      <c r="L5" s="2371"/>
      <c r="M5" s="2371"/>
      <c r="N5" s="2371"/>
      <c r="O5" s="2371"/>
      <c r="P5" s="2371"/>
      <c r="Q5" s="2371"/>
      <c r="R5" s="2371"/>
      <c r="S5" s="2371"/>
      <c r="T5" s="2371"/>
      <c r="U5" s="2371"/>
      <c r="V5" s="2371"/>
      <c r="W5" s="2371"/>
      <c r="X5" s="2371"/>
      <c r="Y5" s="2371"/>
      <c r="Z5" s="2371"/>
      <c r="AA5" s="2371"/>
      <c r="AB5" s="2371"/>
      <c r="AC5" s="2371"/>
      <c r="AD5" s="2371"/>
      <c r="AE5" s="2371"/>
      <c r="AF5" s="2371"/>
      <c r="AG5" s="2371"/>
      <c r="AH5" s="2372"/>
    </row>
    <row r="6" spans="1:34" ht="24" customHeight="1">
      <c r="A6" s="2351"/>
      <c r="B6" s="2354"/>
      <c r="C6" s="2342" t="s">
        <v>677</v>
      </c>
      <c r="D6" s="2342" t="s">
        <v>983</v>
      </c>
      <c r="E6" s="2343" t="s">
        <v>984</v>
      </c>
      <c r="F6" s="2344"/>
      <c r="G6" s="2344"/>
      <c r="H6" s="2345" t="s">
        <v>985</v>
      </c>
      <c r="I6" s="2343" t="s">
        <v>104</v>
      </c>
      <c r="J6" s="2344"/>
      <c r="K6" s="2344"/>
      <c r="L6" s="2347"/>
      <c r="M6" s="2343" t="s">
        <v>986</v>
      </c>
      <c r="N6" s="2347"/>
      <c r="O6" s="2348" t="s">
        <v>987</v>
      </c>
      <c r="P6" s="2348" t="s">
        <v>988</v>
      </c>
      <c r="Q6" s="2379" t="s">
        <v>1092</v>
      </c>
      <c r="R6" s="2339" t="s">
        <v>104</v>
      </c>
      <c r="S6" s="2340"/>
      <c r="T6" s="2340"/>
      <c r="U6" s="2341"/>
      <c r="V6" s="2339" t="s">
        <v>986</v>
      </c>
      <c r="W6" s="2341"/>
      <c r="X6" s="2373" t="s">
        <v>987</v>
      </c>
      <c r="Y6" s="2381" t="s">
        <v>988</v>
      </c>
      <c r="Z6" s="2383" t="s">
        <v>1093</v>
      </c>
      <c r="AA6" s="2339" t="s">
        <v>104</v>
      </c>
      <c r="AB6" s="2340"/>
      <c r="AC6" s="2340"/>
      <c r="AD6" s="2341"/>
      <c r="AE6" s="2339" t="s">
        <v>986</v>
      </c>
      <c r="AF6" s="2341"/>
      <c r="AG6" s="2373" t="s">
        <v>987</v>
      </c>
      <c r="AH6" s="2375" t="s">
        <v>988</v>
      </c>
    </row>
    <row r="7" spans="1:34" ht="19.2">
      <c r="A7" s="2352"/>
      <c r="B7" s="2355"/>
      <c r="C7" s="2342"/>
      <c r="D7" s="2342"/>
      <c r="E7" s="1890" t="s">
        <v>977</v>
      </c>
      <c r="F7" s="1891" t="s">
        <v>978</v>
      </c>
      <c r="G7" s="1891" t="s">
        <v>979</v>
      </c>
      <c r="H7" s="2346"/>
      <c r="I7" s="1890" t="s">
        <v>989</v>
      </c>
      <c r="J7" s="1890" t="s">
        <v>990</v>
      </c>
      <c r="K7" s="1890" t="s">
        <v>991</v>
      </c>
      <c r="L7" s="1890" t="s">
        <v>992</v>
      </c>
      <c r="M7" s="1890" t="s">
        <v>993</v>
      </c>
      <c r="N7" s="1890" t="s">
        <v>994</v>
      </c>
      <c r="O7" s="2349"/>
      <c r="P7" s="2349"/>
      <c r="Q7" s="2380"/>
      <c r="R7" s="1892" t="s">
        <v>989</v>
      </c>
      <c r="S7" s="1892" t="s">
        <v>990</v>
      </c>
      <c r="T7" s="1892" t="s">
        <v>991</v>
      </c>
      <c r="U7" s="1892" t="s">
        <v>992</v>
      </c>
      <c r="V7" s="1892" t="s">
        <v>993</v>
      </c>
      <c r="W7" s="1892" t="s">
        <v>994</v>
      </c>
      <c r="X7" s="2374"/>
      <c r="Y7" s="2382"/>
      <c r="Z7" s="2384"/>
      <c r="AA7" s="1892" t="s">
        <v>989</v>
      </c>
      <c r="AB7" s="1892" t="s">
        <v>990</v>
      </c>
      <c r="AC7" s="1892" t="s">
        <v>991</v>
      </c>
      <c r="AD7" s="1892" t="s">
        <v>992</v>
      </c>
      <c r="AE7" s="1892" t="s">
        <v>993</v>
      </c>
      <c r="AF7" s="1892" t="s">
        <v>994</v>
      </c>
      <c r="AG7" s="2374"/>
      <c r="AH7" s="2376"/>
    </row>
    <row r="8" spans="1:34" s="1889" customFormat="1" ht="13.5" customHeight="1">
      <c r="A8" s="1893">
        <v>1</v>
      </c>
      <c r="B8" s="1894">
        <v>2</v>
      </c>
      <c r="C8" s="1895">
        <v>3</v>
      </c>
      <c r="D8" s="1895">
        <v>4</v>
      </c>
      <c r="E8" s="1895">
        <v>5</v>
      </c>
      <c r="F8" s="1895">
        <v>6</v>
      </c>
      <c r="G8" s="1893">
        <v>7</v>
      </c>
      <c r="H8" s="1896">
        <v>8</v>
      </c>
      <c r="I8" s="1897">
        <v>9</v>
      </c>
      <c r="J8" s="1897">
        <v>10</v>
      </c>
      <c r="K8" s="1897">
        <v>11</v>
      </c>
      <c r="L8" s="1897">
        <v>12</v>
      </c>
      <c r="M8" s="1897">
        <v>13</v>
      </c>
      <c r="N8" s="1897">
        <v>14</v>
      </c>
      <c r="O8" s="1897">
        <v>15</v>
      </c>
      <c r="P8" s="1897">
        <v>16</v>
      </c>
      <c r="Q8" s="1898">
        <v>17</v>
      </c>
      <c r="R8" s="1899">
        <v>18</v>
      </c>
      <c r="S8" s="1899">
        <v>19</v>
      </c>
      <c r="T8" s="1899">
        <v>20</v>
      </c>
      <c r="U8" s="1899">
        <v>21</v>
      </c>
      <c r="V8" s="1899">
        <v>22</v>
      </c>
      <c r="W8" s="1899">
        <v>23</v>
      </c>
      <c r="X8" s="1899">
        <v>24</v>
      </c>
      <c r="Y8" s="1900">
        <v>25</v>
      </c>
      <c r="Z8" s="1901">
        <v>26</v>
      </c>
      <c r="AA8" s="1899">
        <v>27</v>
      </c>
      <c r="AB8" s="1899">
        <v>28</v>
      </c>
      <c r="AC8" s="1899">
        <v>29</v>
      </c>
      <c r="AD8" s="1899">
        <v>30</v>
      </c>
      <c r="AE8" s="1899">
        <v>31</v>
      </c>
      <c r="AF8" s="1899">
        <v>32</v>
      </c>
      <c r="AG8" s="1899">
        <v>33</v>
      </c>
      <c r="AH8" s="1902">
        <v>34</v>
      </c>
    </row>
    <row r="9" spans="1:34" ht="68.25" customHeight="1">
      <c r="A9" s="1903" t="s">
        <v>52</v>
      </c>
      <c r="B9" s="1904"/>
      <c r="C9" s="786"/>
      <c r="D9" s="1905"/>
      <c r="E9" s="1905"/>
      <c r="F9" s="1905"/>
      <c r="G9" s="1906"/>
      <c r="H9" s="1907" t="e">
        <f>I9+M9+O9+P9</f>
        <v>#VALUE!</v>
      </c>
      <c r="I9" s="789">
        <f>SUM(I10)</f>
        <v>0</v>
      </c>
      <c r="J9" s="789"/>
      <c r="K9" s="789"/>
      <c r="L9" s="789"/>
      <c r="M9" s="789">
        <f>SUM(M10)</f>
        <v>0</v>
      </c>
      <c r="N9" s="789"/>
      <c r="O9" s="789">
        <f>SUM(O10)</f>
        <v>0</v>
      </c>
      <c r="P9" s="789" t="e">
        <f>SUM(P10)</f>
        <v>#VALUE!</v>
      </c>
      <c r="Q9" s="1908"/>
      <c r="R9" s="802"/>
      <c r="S9" s="802"/>
      <c r="T9" s="802"/>
      <c r="U9" s="802"/>
      <c r="V9" s="804"/>
      <c r="W9" s="804"/>
      <c r="X9" s="804"/>
      <c r="Y9" s="1909"/>
      <c r="Z9" s="1910"/>
      <c r="AA9" s="802"/>
      <c r="AB9" s="802"/>
      <c r="AC9" s="802"/>
      <c r="AD9" s="802"/>
      <c r="AE9" s="804"/>
      <c r="AF9" s="804"/>
      <c r="AG9" s="804"/>
      <c r="AH9" s="805"/>
    </row>
    <row r="10" spans="1:34" ht="81" customHeight="1">
      <c r="A10" s="1911" t="s">
        <v>995</v>
      </c>
      <c r="B10" s="1904"/>
      <c r="C10" s="786"/>
      <c r="D10" s="802"/>
      <c r="E10" s="802"/>
      <c r="F10" s="802"/>
      <c r="G10" s="807"/>
      <c r="H10" s="1907" t="e">
        <f>I10+M10+O10+P10</f>
        <v>#VALUE!</v>
      </c>
      <c r="I10" s="789">
        <f>SUM(I11:I13)</f>
        <v>0</v>
      </c>
      <c r="J10" s="789"/>
      <c r="K10" s="789"/>
      <c r="L10" s="789"/>
      <c r="M10" s="789">
        <f>SUM(M11:M13)</f>
        <v>0</v>
      </c>
      <c r="N10" s="789"/>
      <c r="O10" s="789">
        <f>SUM(O11:O13)</f>
        <v>0</v>
      </c>
      <c r="P10" s="789" t="e">
        <f>SUM(P11:P13)</f>
        <v>#VALUE!</v>
      </c>
      <c r="Q10" s="1908"/>
      <c r="R10" s="802"/>
      <c r="S10" s="802"/>
      <c r="T10" s="802"/>
      <c r="U10" s="802"/>
      <c r="V10" s="804"/>
      <c r="W10" s="804"/>
      <c r="X10" s="804"/>
      <c r="Y10" s="1909"/>
      <c r="Z10" s="1910"/>
      <c r="AA10" s="802"/>
      <c r="AB10" s="802"/>
      <c r="AC10" s="802"/>
      <c r="AD10" s="802"/>
      <c r="AE10" s="804"/>
      <c r="AF10" s="804"/>
      <c r="AG10" s="804"/>
      <c r="AH10" s="805"/>
    </row>
    <row r="11" spans="1:34" ht="81" customHeight="1">
      <c r="A11" s="1911" t="s">
        <v>996</v>
      </c>
      <c r="B11" s="1904"/>
      <c r="C11" s="786"/>
      <c r="D11" s="802"/>
      <c r="E11" s="802"/>
      <c r="F11" s="802"/>
      <c r="G11" s="807"/>
      <c r="H11" s="1907">
        <f t="shared" ref="H11:H18" si="0">I11+M11+O11+P11</f>
        <v>800364.71</v>
      </c>
      <c r="I11" s="789">
        <v>0</v>
      </c>
      <c r="J11" s="789"/>
      <c r="K11" s="789"/>
      <c r="L11" s="789"/>
      <c r="M11" s="789">
        <v>0</v>
      </c>
      <c r="N11" s="789"/>
      <c r="O11" s="789">
        <v>0</v>
      </c>
      <c r="P11" s="789">
        <f>'BZ-zmiany (2)'!I37</f>
        <v>800364.71</v>
      </c>
      <c r="Q11" s="1908"/>
      <c r="R11" s="802"/>
      <c r="S11" s="802"/>
      <c r="T11" s="802"/>
      <c r="U11" s="802"/>
      <c r="V11" s="804"/>
      <c r="W11" s="804"/>
      <c r="X11" s="804"/>
      <c r="Y11" s="1909"/>
      <c r="Z11" s="1910"/>
      <c r="AA11" s="802"/>
      <c r="AB11" s="802"/>
      <c r="AC11" s="802"/>
      <c r="AD11" s="802"/>
      <c r="AE11" s="804"/>
      <c r="AF11" s="804"/>
      <c r="AG11" s="804"/>
      <c r="AH11" s="805"/>
    </row>
    <row r="12" spans="1:34" ht="68.25" customHeight="1">
      <c r="A12" s="1911" t="s">
        <v>997</v>
      </c>
      <c r="B12" s="1904"/>
      <c r="C12" s="786"/>
      <c r="D12" s="802"/>
      <c r="E12" s="802"/>
      <c r="F12" s="802"/>
      <c r="G12" s="807"/>
      <c r="H12" s="1907">
        <f t="shared" si="0"/>
        <v>162153.51999999999</v>
      </c>
      <c r="I12" s="789">
        <v>0</v>
      </c>
      <c r="J12" s="789"/>
      <c r="K12" s="789"/>
      <c r="L12" s="789"/>
      <c r="M12" s="789">
        <v>0</v>
      </c>
      <c r="N12" s="789"/>
      <c r="O12" s="789">
        <v>0</v>
      </c>
      <c r="P12" s="789">
        <f>'BZ-zmiany (2)'!I42</f>
        <v>162153.51999999999</v>
      </c>
      <c r="Q12" s="1908"/>
      <c r="R12" s="802"/>
      <c r="S12" s="802"/>
      <c r="T12" s="802"/>
      <c r="U12" s="802"/>
      <c r="V12" s="804"/>
      <c r="W12" s="804"/>
      <c r="X12" s="804"/>
      <c r="Y12" s="1909"/>
      <c r="Z12" s="1910"/>
      <c r="AA12" s="802"/>
      <c r="AB12" s="802"/>
      <c r="AC12" s="802"/>
      <c r="AD12" s="802"/>
      <c r="AE12" s="804"/>
      <c r="AF12" s="804"/>
      <c r="AG12" s="804"/>
      <c r="AH12" s="805"/>
    </row>
    <row r="13" spans="1:34" ht="67.5" customHeight="1">
      <c r="A13" s="1911" t="s">
        <v>998</v>
      </c>
      <c r="B13" s="1904"/>
      <c r="C13" s="786"/>
      <c r="D13" s="802"/>
      <c r="E13" s="802"/>
      <c r="F13" s="802"/>
      <c r="G13" s="807"/>
      <c r="H13" s="1907" t="e">
        <f t="shared" si="0"/>
        <v>#VALUE!</v>
      </c>
      <c r="I13" s="789">
        <v>0</v>
      </c>
      <c r="J13" s="789"/>
      <c r="K13" s="789"/>
      <c r="L13" s="789"/>
      <c r="M13" s="789">
        <v>0</v>
      </c>
      <c r="N13" s="789"/>
      <c r="O13" s="789">
        <v>0</v>
      </c>
      <c r="P13" s="789" t="e">
        <f>'BZ-zmiany (2)'!I92</f>
        <v>#VALUE!</v>
      </c>
      <c r="Q13" s="1908"/>
      <c r="R13" s="802"/>
      <c r="S13" s="802"/>
      <c r="T13" s="802"/>
      <c r="U13" s="802"/>
      <c r="V13" s="804"/>
      <c r="W13" s="804"/>
      <c r="X13" s="804"/>
      <c r="Y13" s="1909"/>
      <c r="Z13" s="1910"/>
      <c r="AA13" s="802"/>
      <c r="AB13" s="802"/>
      <c r="AC13" s="802"/>
      <c r="AD13" s="802"/>
      <c r="AE13" s="804"/>
      <c r="AF13" s="804"/>
      <c r="AG13" s="804"/>
      <c r="AH13" s="805"/>
    </row>
    <row r="14" spans="1:34" ht="42.75" customHeight="1">
      <c r="A14" s="1911" t="s">
        <v>999</v>
      </c>
      <c r="B14" s="1904"/>
      <c r="C14" s="786"/>
      <c r="D14" s="802"/>
      <c r="E14" s="802"/>
      <c r="F14" s="802"/>
      <c r="G14" s="807"/>
      <c r="H14" s="1907">
        <f t="shared" si="0"/>
        <v>3431210.25</v>
      </c>
      <c r="I14" s="789">
        <f>SUM(I15)</f>
        <v>745360</v>
      </c>
      <c r="J14" s="789"/>
      <c r="K14" s="789"/>
      <c r="L14" s="789"/>
      <c r="M14" s="789">
        <f>SUM(M15)</f>
        <v>0</v>
      </c>
      <c r="N14" s="789"/>
      <c r="O14" s="789">
        <f>SUM(O15)</f>
        <v>0</v>
      </c>
      <c r="P14" s="789">
        <f>SUM(P15)</f>
        <v>2685850.25</v>
      </c>
      <c r="Q14" s="1908"/>
      <c r="R14" s="1912"/>
      <c r="S14" s="802"/>
      <c r="T14" s="802"/>
      <c r="U14" s="802"/>
      <c r="V14" s="804"/>
      <c r="W14" s="804"/>
      <c r="X14" s="804"/>
      <c r="Y14" s="1909"/>
      <c r="Z14" s="1910"/>
      <c r="AA14" s="1912"/>
      <c r="AB14" s="802"/>
      <c r="AC14" s="802"/>
      <c r="AD14" s="802"/>
      <c r="AE14" s="804"/>
      <c r="AF14" s="804"/>
      <c r="AG14" s="804"/>
      <c r="AH14" s="805"/>
    </row>
    <row r="15" spans="1:34" ht="54.75" customHeight="1">
      <c r="A15" s="1911" t="s">
        <v>1000</v>
      </c>
      <c r="B15" s="1904"/>
      <c r="C15" s="786"/>
      <c r="D15" s="802"/>
      <c r="E15" s="802"/>
      <c r="F15" s="802"/>
      <c r="G15" s="807"/>
      <c r="H15" s="1907">
        <f t="shared" si="0"/>
        <v>3431210.25</v>
      </c>
      <c r="I15" s="789">
        <f>SUM(I16:I18)</f>
        <v>745360</v>
      </c>
      <c r="J15" s="789"/>
      <c r="K15" s="789"/>
      <c r="L15" s="789"/>
      <c r="M15" s="789">
        <f>SUM(M16:M18)</f>
        <v>0</v>
      </c>
      <c r="N15" s="789"/>
      <c r="O15" s="789">
        <f>SUM(O16:O18)</f>
        <v>0</v>
      </c>
      <c r="P15" s="789">
        <f>SUM(P16:P18)</f>
        <v>2685850.25</v>
      </c>
      <c r="Q15" s="1908"/>
      <c r="R15" s="1912"/>
      <c r="S15" s="802"/>
      <c r="T15" s="802"/>
      <c r="U15" s="802"/>
      <c r="V15" s="804"/>
      <c r="W15" s="804"/>
      <c r="X15" s="804"/>
      <c r="Y15" s="1909"/>
      <c r="Z15" s="1910"/>
      <c r="AA15" s="1912"/>
      <c r="AB15" s="802"/>
      <c r="AC15" s="802"/>
      <c r="AD15" s="802"/>
      <c r="AE15" s="804"/>
      <c r="AF15" s="804"/>
      <c r="AG15" s="804"/>
      <c r="AH15" s="805"/>
    </row>
    <row r="16" spans="1:34" ht="67.5" customHeight="1">
      <c r="A16" s="1911" t="s">
        <v>1001</v>
      </c>
      <c r="B16" s="1904"/>
      <c r="C16" s="786"/>
      <c r="D16" s="802"/>
      <c r="E16" s="802"/>
      <c r="F16" s="802"/>
      <c r="G16" s="807"/>
      <c r="H16" s="1907">
        <f t="shared" si="0"/>
        <v>3172734.47</v>
      </c>
      <c r="I16" s="789">
        <f>'Pl 2016-20 PFC'!I92/1000</f>
        <v>745360</v>
      </c>
      <c r="J16" s="1913" t="s">
        <v>1007</v>
      </c>
      <c r="K16" s="1913">
        <v>853</v>
      </c>
      <c r="L16" s="1913">
        <v>85324</v>
      </c>
      <c r="M16" s="789">
        <v>0</v>
      </c>
      <c r="N16" s="789"/>
      <c r="O16" s="789">
        <f>'Pl 2016-20 PFC'!I97</f>
        <v>0</v>
      </c>
      <c r="P16" s="789">
        <f>'BZ-zmiany (2)'!I101-I16-O16</f>
        <v>2427374.4700000002</v>
      </c>
      <c r="Q16" s="1908"/>
      <c r="R16" s="1912"/>
      <c r="S16" s="802"/>
      <c r="T16" s="802"/>
      <c r="U16" s="802"/>
      <c r="V16" s="804"/>
      <c r="W16" s="804"/>
      <c r="X16" s="804"/>
      <c r="Y16" s="1914"/>
      <c r="Z16" s="1910"/>
      <c r="AA16" s="1912"/>
      <c r="AB16" s="802"/>
      <c r="AC16" s="802"/>
      <c r="AD16" s="802"/>
      <c r="AE16" s="804"/>
      <c r="AF16" s="804"/>
      <c r="AG16" s="804"/>
      <c r="AH16" s="1915"/>
    </row>
    <row r="17" spans="1:34" ht="144" customHeight="1">
      <c r="A17" s="1911" t="s">
        <v>1002</v>
      </c>
      <c r="B17" s="1904"/>
      <c r="C17" s="786"/>
      <c r="D17" s="1916"/>
      <c r="E17" s="1916"/>
      <c r="F17" s="1916"/>
      <c r="G17" s="1917"/>
      <c r="H17" s="1907">
        <f t="shared" si="0"/>
        <v>100979.26</v>
      </c>
      <c r="I17" s="789">
        <v>0</v>
      </c>
      <c r="J17" s="789"/>
      <c r="K17" s="789"/>
      <c r="L17" s="789"/>
      <c r="M17" s="789">
        <v>0</v>
      </c>
      <c r="N17" s="789"/>
      <c r="O17" s="789">
        <v>0</v>
      </c>
      <c r="P17" s="789">
        <f>'BZ-zmiany (2)'!I108</f>
        <v>100979.26</v>
      </c>
      <c r="Q17" s="1908"/>
      <c r="R17" s="802"/>
      <c r="S17" s="802"/>
      <c r="T17" s="802"/>
      <c r="U17" s="802"/>
      <c r="V17" s="804"/>
      <c r="W17" s="804"/>
      <c r="X17" s="804"/>
      <c r="Y17" s="1909"/>
      <c r="Z17" s="1910"/>
      <c r="AA17" s="802"/>
      <c r="AB17" s="802"/>
      <c r="AC17" s="802"/>
      <c r="AD17" s="802"/>
      <c r="AE17" s="804"/>
      <c r="AF17" s="804"/>
      <c r="AG17" s="804"/>
      <c r="AH17" s="805"/>
    </row>
    <row r="18" spans="1:34" ht="78.75" customHeight="1">
      <c r="A18" s="1911" t="s">
        <v>1004</v>
      </c>
      <c r="B18" s="1904"/>
      <c r="C18" s="786"/>
      <c r="D18" s="802"/>
      <c r="E18" s="802"/>
      <c r="F18" s="802"/>
      <c r="G18" s="807"/>
      <c r="H18" s="1907">
        <f t="shared" si="0"/>
        <v>157496.51999999999</v>
      </c>
      <c r="I18" s="789">
        <v>0</v>
      </c>
      <c r="J18" s="789"/>
      <c r="K18" s="789"/>
      <c r="L18" s="789"/>
      <c r="M18" s="789">
        <v>0</v>
      </c>
      <c r="N18" s="789"/>
      <c r="O18" s="789">
        <v>0</v>
      </c>
      <c r="P18" s="789">
        <f>'BZ-zmiany (2)'!I110</f>
        <v>157496.51999999999</v>
      </c>
      <c r="Q18" s="1908"/>
      <c r="R18" s="802"/>
      <c r="S18" s="802"/>
      <c r="T18" s="802"/>
      <c r="U18" s="802"/>
      <c r="V18" s="804"/>
      <c r="W18" s="804"/>
      <c r="X18" s="804"/>
      <c r="Y18" s="1909"/>
      <c r="Z18" s="1910"/>
      <c r="AA18" s="802"/>
      <c r="AB18" s="802"/>
      <c r="AC18" s="802"/>
      <c r="AD18" s="802"/>
      <c r="AE18" s="804"/>
      <c r="AF18" s="804"/>
      <c r="AG18" s="804"/>
      <c r="AH18" s="805"/>
    </row>
    <row r="19" spans="1:34" s="1929" customFormat="1" ht="40.5" customHeight="1">
      <c r="A19" s="1918"/>
      <c r="B19" s="1919"/>
      <c r="C19" s="1920"/>
      <c r="D19" s="1921"/>
      <c r="E19" s="1921"/>
      <c r="F19" s="1921"/>
      <c r="G19" s="1922"/>
      <c r="H19" s="1923" t="e">
        <f>SUM(H9,H14)</f>
        <v>#VALUE!</v>
      </c>
      <c r="I19" s="1924"/>
      <c r="J19" s="1924"/>
      <c r="K19" s="1924"/>
      <c r="L19" s="1924"/>
      <c r="M19" s="1924"/>
      <c r="N19" s="1924"/>
      <c r="O19" s="1924"/>
      <c r="P19" s="1924"/>
      <c r="Q19" s="1926">
        <f>SUM(Q9,Q14)</f>
        <v>0</v>
      </c>
      <c r="R19" s="1921"/>
      <c r="S19" s="1921"/>
      <c r="T19" s="1921"/>
      <c r="U19" s="1921"/>
      <c r="V19" s="1924"/>
      <c r="W19" s="1924"/>
      <c r="X19" s="1924"/>
      <c r="Y19" s="1927"/>
      <c r="Z19" s="1928">
        <f>SUM(Z9,Z14)</f>
        <v>0</v>
      </c>
      <c r="AA19" s="1921"/>
      <c r="AB19" s="1921"/>
      <c r="AC19" s="1921"/>
      <c r="AD19" s="1921"/>
      <c r="AE19" s="1924"/>
      <c r="AF19" s="1924"/>
      <c r="AG19" s="1924"/>
      <c r="AH19" s="1925"/>
    </row>
    <row r="20" spans="1:34" ht="13.5" customHeight="1" thickBot="1">
      <c r="A20" s="1911"/>
      <c r="B20" s="1930"/>
      <c r="C20" s="1931"/>
      <c r="D20" s="1932"/>
      <c r="E20" s="1932"/>
      <c r="F20" s="1932"/>
      <c r="G20" s="1933"/>
      <c r="H20" s="1934"/>
      <c r="I20" s="1935"/>
      <c r="J20" s="1935"/>
      <c r="K20" s="1935"/>
      <c r="L20" s="1935"/>
      <c r="M20" s="1935"/>
      <c r="N20" s="1935"/>
      <c r="O20" s="1935"/>
      <c r="P20" s="1935" t="s">
        <v>565</v>
      </c>
      <c r="Q20" s="1936"/>
      <c r="R20" s="1932"/>
      <c r="S20" s="1932"/>
      <c r="T20" s="1932"/>
      <c r="U20" s="1932"/>
      <c r="V20" s="1937"/>
      <c r="W20" s="1937"/>
      <c r="X20" s="1937"/>
      <c r="Y20" s="1938"/>
      <c r="Z20" s="1939"/>
      <c r="AA20" s="1932"/>
      <c r="AB20" s="1932"/>
      <c r="AC20" s="1932"/>
      <c r="AD20" s="1932"/>
      <c r="AE20" s="1937"/>
      <c r="AF20" s="1937"/>
      <c r="AG20" s="1937"/>
      <c r="AH20" s="1940"/>
    </row>
    <row r="21" spans="1:34" ht="13.5" customHeight="1">
      <c r="A21" s="781"/>
      <c r="B21" s="781"/>
      <c r="C21" s="781"/>
      <c r="D21" s="781"/>
      <c r="E21" s="781"/>
      <c r="F21" s="781"/>
      <c r="G21" s="781"/>
      <c r="H21" s="1887"/>
      <c r="I21" s="1887"/>
      <c r="J21" s="1887"/>
      <c r="K21" s="1887"/>
      <c r="L21" s="1887"/>
      <c r="M21" s="1887"/>
      <c r="N21" s="1887"/>
      <c r="O21" s="1887"/>
      <c r="P21" s="1887"/>
    </row>
    <row r="22" spans="1:34" ht="17.25" customHeight="1"/>
    <row r="23" spans="1:34" ht="17.25" customHeight="1">
      <c r="A23" s="782" t="s">
        <v>1106</v>
      </c>
      <c r="P23" s="1941"/>
    </row>
    <row r="24" spans="1:34">
      <c r="A24" s="782"/>
      <c r="B24" s="782" t="s">
        <v>1005</v>
      </c>
      <c r="D24" s="806"/>
      <c r="P24" s="1941"/>
    </row>
    <row r="25" spans="1:34">
      <c r="A25" s="782"/>
    </row>
    <row r="26" spans="1:34">
      <c r="A26" s="782" t="s">
        <v>1107</v>
      </c>
    </row>
    <row r="27" spans="1:34">
      <c r="A27" s="782"/>
    </row>
    <row r="28" spans="1:34">
      <c r="A28" s="782"/>
    </row>
    <row r="29" spans="1:34">
      <c r="A29" s="782"/>
      <c r="G29" s="1942"/>
    </row>
    <row r="30" spans="1:34">
      <c r="A30" s="782"/>
    </row>
    <row r="31" spans="1:34">
      <c r="A31" s="782"/>
    </row>
    <row r="32" spans="1:34">
      <c r="A32" s="782" t="s">
        <v>1006</v>
      </c>
    </row>
    <row r="33" spans="1:1">
      <c r="A33" s="782"/>
    </row>
    <row r="34" spans="1:1" ht="20.399999999999999" customHeight="1"/>
    <row r="35" spans="1:1" ht="20.399999999999999" customHeight="1"/>
  </sheetData>
  <mergeCells count="27">
    <mergeCell ref="P1:P2"/>
    <mergeCell ref="Q6:Q7"/>
    <mergeCell ref="R6:U6"/>
    <mergeCell ref="V6:W6"/>
    <mergeCell ref="X6:X7"/>
    <mergeCell ref="A3:A7"/>
    <mergeCell ref="B3:B7"/>
    <mergeCell ref="C3:G5"/>
    <mergeCell ref="H3:AH3"/>
    <mergeCell ref="H4:P4"/>
    <mergeCell ref="Q4:Y4"/>
    <mergeCell ref="Z4:AH4"/>
    <mergeCell ref="H5:AH5"/>
    <mergeCell ref="C6:C7"/>
    <mergeCell ref="AE6:AF6"/>
    <mergeCell ref="AG6:AG7"/>
    <mergeCell ref="AH6:AH7"/>
    <mergeCell ref="Y6:Y7"/>
    <mergeCell ref="Z6:Z7"/>
    <mergeCell ref="AA6:AD6"/>
    <mergeCell ref="D6:D7"/>
    <mergeCell ref="E6:G6"/>
    <mergeCell ref="H6:H7"/>
    <mergeCell ref="I6:L6"/>
    <mergeCell ref="M6:N6"/>
    <mergeCell ref="O6:O7"/>
    <mergeCell ref="P6:P7"/>
  </mergeCells>
  <printOptions horizontalCentered="1"/>
  <pageMargins left="0.39370078740157483" right="0.39370078740157483" top="0.98425196850393704" bottom="0.6692913385826772" header="0.51181102362204722" footer="0.51181102362204722"/>
  <pageSetup paperSize="9" scale="35" firstPageNumber="2" pageOrder="overThenDown" orientation="landscape" useFirstPageNumber="1" r:id="rId1"/>
  <headerFooter alignWithMargins="0">
    <oddHeader>&amp;RZałącznik nr 3 do 
Uchwały  Nr         /2015
Zarządu PFRON
z dnia     02.06.2015
Projekt</oddHeader>
    <oddFooter>&amp;C3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view="pageBreakPreview" zoomScale="75" zoomScaleNormal="75" zoomScaleSheetLayoutView="75" workbookViewId="0">
      <selection activeCell="H340" sqref="H340"/>
    </sheetView>
  </sheetViews>
  <sheetFormatPr defaultRowHeight="15.6"/>
  <cols>
    <col min="1" max="1" width="4.5" style="9" customWidth="1"/>
    <col min="2" max="2" width="7" style="9" customWidth="1"/>
    <col min="3" max="3" width="31.59765625" customWidth="1"/>
    <col min="4" max="7" width="10.5" style="10" customWidth="1"/>
    <col min="8" max="8" width="14.19921875" style="10" customWidth="1"/>
    <col min="9" max="9" width="10.5" style="5" customWidth="1"/>
    <col min="10" max="10" width="13.69921875" customWidth="1"/>
    <col min="11" max="11" width="10.09765625" customWidth="1"/>
  </cols>
  <sheetData>
    <row r="1" spans="1:10">
      <c r="I1" s="7"/>
    </row>
    <row r="2" spans="1:10" s="4" customFormat="1">
      <c r="A2" s="6"/>
      <c r="B2" s="6"/>
      <c r="D2" s="5"/>
      <c r="E2" s="5"/>
      <c r="F2" s="5"/>
      <c r="G2" s="5"/>
      <c r="H2" s="5"/>
      <c r="I2" s="11"/>
    </row>
    <row r="3" spans="1:10" s="4" customFormat="1">
      <c r="A3" s="12"/>
      <c r="B3" s="13"/>
      <c r="C3" s="1"/>
      <c r="D3" s="14"/>
      <c r="E3" s="14"/>
      <c r="F3" s="14"/>
      <c r="G3" s="14"/>
      <c r="H3" s="3"/>
      <c r="I3" s="11" t="s">
        <v>565</v>
      </c>
    </row>
    <row r="4" spans="1:10" s="4" customFormat="1" ht="17.399999999999999">
      <c r="A4" s="2385" t="s">
        <v>571</v>
      </c>
      <c r="B4" s="2385"/>
      <c r="C4" s="2385"/>
      <c r="D4" s="2385"/>
      <c r="E4" s="2385"/>
      <c r="F4" s="2385"/>
      <c r="G4" s="2385"/>
      <c r="H4" s="2385"/>
      <c r="I4" s="2385"/>
    </row>
    <row r="5" spans="1:10" s="4" customFormat="1" ht="17.399999999999999">
      <c r="A5" s="2385" t="s">
        <v>572</v>
      </c>
      <c r="B5" s="2385"/>
      <c r="C5" s="2385"/>
      <c r="D5" s="2385"/>
      <c r="E5" s="2385"/>
      <c r="F5" s="2385"/>
      <c r="G5" s="2385"/>
      <c r="H5" s="2385"/>
      <c r="I5" s="2385"/>
    </row>
    <row r="6" spans="1:10" s="4" customFormat="1" ht="18">
      <c r="A6" s="15"/>
      <c r="B6" s="16"/>
      <c r="C6" s="15"/>
      <c r="D6" s="17"/>
      <c r="E6" s="17"/>
      <c r="F6" s="17"/>
      <c r="G6" s="17"/>
      <c r="H6" s="17"/>
      <c r="I6" s="18" t="s">
        <v>573</v>
      </c>
    </row>
    <row r="7" spans="1:10" s="8" customFormat="1" ht="32.1" customHeight="1">
      <c r="A7" s="2386" t="s">
        <v>512</v>
      </c>
      <c r="B7" s="2386" t="s">
        <v>489</v>
      </c>
      <c r="C7" s="2386"/>
      <c r="D7" s="2387" t="s">
        <v>574</v>
      </c>
      <c r="E7" s="2387" t="s">
        <v>575</v>
      </c>
      <c r="F7" s="2387" t="s">
        <v>576</v>
      </c>
      <c r="G7" s="2387" t="s">
        <v>577</v>
      </c>
      <c r="H7" s="2387" t="s">
        <v>578</v>
      </c>
      <c r="I7" s="2387" t="s">
        <v>579</v>
      </c>
    </row>
    <row r="8" spans="1:10" s="8" customFormat="1" ht="32.1" customHeight="1">
      <c r="A8" s="2386"/>
      <c r="B8" s="2386"/>
      <c r="C8" s="2386"/>
      <c r="D8" s="2387"/>
      <c r="E8" s="2387"/>
      <c r="F8" s="2387"/>
      <c r="G8" s="2387"/>
      <c r="H8" s="2387"/>
      <c r="I8" s="2387"/>
    </row>
    <row r="9" spans="1:10">
      <c r="A9" s="19"/>
      <c r="B9" s="20"/>
      <c r="C9" s="21"/>
      <c r="D9" s="22"/>
      <c r="E9" s="23"/>
      <c r="F9" s="23"/>
      <c r="G9" s="23"/>
      <c r="H9" s="23"/>
      <c r="I9" s="24"/>
    </row>
    <row r="10" spans="1:10">
      <c r="A10" s="25" t="s">
        <v>515</v>
      </c>
      <c r="B10" s="26"/>
      <c r="C10" s="27" t="s">
        <v>580</v>
      </c>
      <c r="D10" s="28"/>
      <c r="E10" s="28"/>
      <c r="F10" s="28"/>
      <c r="G10" s="28"/>
      <c r="H10" s="28"/>
      <c r="I10" s="29"/>
    </row>
    <row r="11" spans="1:10">
      <c r="A11" s="30">
        <v>1</v>
      </c>
      <c r="B11" s="31" t="s">
        <v>581</v>
      </c>
      <c r="C11" s="32" t="s">
        <v>582</v>
      </c>
      <c r="D11" s="33">
        <v>27280899</v>
      </c>
      <c r="E11" s="34">
        <v>54900</v>
      </c>
      <c r="F11" s="33">
        <v>495360</v>
      </c>
      <c r="G11" s="33">
        <v>1622044</v>
      </c>
      <c r="H11" s="33">
        <v>725771</v>
      </c>
      <c r="I11" s="35">
        <f>SUM(D11,E11)-SUM(F11:H11)</f>
        <v>24492624</v>
      </c>
      <c r="J11" s="36"/>
    </row>
    <row r="12" spans="1:10">
      <c r="A12" s="30">
        <v>2</v>
      </c>
      <c r="B12" s="31" t="s">
        <v>581</v>
      </c>
      <c r="C12" s="32" t="s">
        <v>583</v>
      </c>
      <c r="D12" s="33"/>
      <c r="E12" s="37"/>
      <c r="F12" s="33"/>
      <c r="G12" s="33"/>
      <c r="H12" s="33"/>
      <c r="I12" s="35"/>
      <c r="J12" s="36"/>
    </row>
    <row r="13" spans="1:10">
      <c r="A13" s="30">
        <v>3</v>
      </c>
      <c r="B13" s="31" t="s">
        <v>581</v>
      </c>
      <c r="C13" s="32" t="s">
        <v>584</v>
      </c>
      <c r="D13" s="33">
        <v>24492624</v>
      </c>
      <c r="E13" s="38">
        <v>0</v>
      </c>
      <c r="F13" s="33">
        <v>900000</v>
      </c>
      <c r="G13" s="33">
        <v>4000000</v>
      </c>
      <c r="H13" s="33">
        <v>2000000</v>
      </c>
      <c r="I13" s="35">
        <f>SUM(D13,E13)-SUM(F13:H13)</f>
        <v>17592624</v>
      </c>
      <c r="J13" s="36"/>
    </row>
    <row r="14" spans="1:10">
      <c r="A14" s="30">
        <v>4</v>
      </c>
      <c r="B14" s="31" t="s">
        <v>585</v>
      </c>
      <c r="C14" s="32" t="s">
        <v>582</v>
      </c>
      <c r="D14" s="33">
        <f>I13</f>
        <v>17592624</v>
      </c>
      <c r="E14" s="37" t="s">
        <v>586</v>
      </c>
      <c r="F14" s="33">
        <v>800000</v>
      </c>
      <c r="G14" s="33">
        <v>4000000</v>
      </c>
      <c r="H14" s="33">
        <v>2000000</v>
      </c>
      <c r="I14" s="35">
        <f>SUM(D14,E14)-SUM(F14:H14)</f>
        <v>10792624</v>
      </c>
      <c r="J14" s="36"/>
    </row>
    <row r="15" spans="1:10">
      <c r="A15" s="30">
        <v>5</v>
      </c>
      <c r="B15" s="31" t="s">
        <v>587</v>
      </c>
      <c r="C15" s="32" t="s">
        <v>582</v>
      </c>
      <c r="D15" s="33">
        <f>I14</f>
        <v>10792624</v>
      </c>
      <c r="E15" s="37" t="s">
        <v>586</v>
      </c>
      <c r="F15" s="33">
        <v>700000</v>
      </c>
      <c r="G15" s="33">
        <v>4000000</v>
      </c>
      <c r="H15" s="33">
        <v>1800000</v>
      </c>
      <c r="I15" s="35">
        <f>SUM(D15,E15)-SUM(F15:H15)</f>
        <v>4292624</v>
      </c>
      <c r="J15" s="36"/>
    </row>
    <row r="16" spans="1:10">
      <c r="A16" s="30">
        <v>6</v>
      </c>
      <c r="B16" s="31" t="s">
        <v>588</v>
      </c>
      <c r="C16" s="32" t="s">
        <v>582</v>
      </c>
      <c r="D16" s="33">
        <f>I15</f>
        <v>4292624</v>
      </c>
      <c r="E16" s="37" t="s">
        <v>586</v>
      </c>
      <c r="F16" s="33">
        <v>600000</v>
      </c>
      <c r="G16" s="33">
        <v>3000000</v>
      </c>
      <c r="H16" s="33">
        <v>692624</v>
      </c>
      <c r="I16" s="35">
        <f>SUM(D16,E16)-SUM(F16:H16)</f>
        <v>0</v>
      </c>
      <c r="J16" s="36"/>
    </row>
    <row r="17" spans="1:11">
      <c r="A17" s="39"/>
      <c r="B17" s="40"/>
      <c r="C17" s="41"/>
      <c r="D17" s="42"/>
      <c r="E17" s="42"/>
      <c r="F17" s="42"/>
      <c r="G17" s="43"/>
      <c r="H17" s="43"/>
      <c r="I17" s="44"/>
    </row>
    <row r="18" spans="1:11">
      <c r="A18" s="45" t="s">
        <v>589</v>
      </c>
      <c r="B18" s="26"/>
      <c r="C18" s="27" t="s">
        <v>590</v>
      </c>
      <c r="D18" s="46"/>
      <c r="E18" s="46"/>
      <c r="F18" s="46"/>
      <c r="G18" s="46"/>
      <c r="H18" s="46"/>
      <c r="I18" s="47"/>
    </row>
    <row r="19" spans="1:11">
      <c r="A19" s="30">
        <v>1</v>
      </c>
      <c r="B19" s="31" t="s">
        <v>581</v>
      </c>
      <c r="C19" s="32" t="s">
        <v>582</v>
      </c>
      <c r="D19" s="33">
        <f>'Rozl.poż.pr.cel.-plan 2008-10'!D58</f>
        <v>0</v>
      </c>
      <c r="E19" s="33">
        <f>'Rozl.poż.pr.cel.-plan 2008-10'!E58</f>
        <v>0</v>
      </c>
      <c r="F19" s="33">
        <f>'Rozl.poż.pr.cel.-plan 2008-10'!F58</f>
        <v>0</v>
      </c>
      <c r="G19" s="33">
        <f>'Rozl.poż.pr.cel.-plan 2008-10'!G58</f>
        <v>0</v>
      </c>
      <c r="H19" s="33">
        <f>'Rozl.poż.pr.cel.-plan 2008-10'!H58</f>
        <v>0</v>
      </c>
      <c r="I19" s="35">
        <f>'Rozl.poż.pr.cel.-plan 2008-10'!I58</f>
        <v>0</v>
      </c>
      <c r="J19" s="36"/>
    </row>
    <row r="20" spans="1:11">
      <c r="A20" s="30">
        <v>2</v>
      </c>
      <c r="B20" s="31" t="s">
        <v>581</v>
      </c>
      <c r="C20" s="32" t="s">
        <v>583</v>
      </c>
      <c r="D20" s="33">
        <f>'Rozl.poż.pr.cel.-plan 2008-10'!D59</f>
        <v>0</v>
      </c>
      <c r="E20" s="33">
        <f>'Rozl.poż.pr.cel.-plan 2008-10'!E59</f>
        <v>0</v>
      </c>
      <c r="F20" s="33">
        <f>'Rozl.poż.pr.cel.-plan 2008-10'!F59</f>
        <v>0</v>
      </c>
      <c r="G20" s="33">
        <f>'Rozl.poż.pr.cel.-plan 2008-10'!G59</f>
        <v>0</v>
      </c>
      <c r="H20" s="33">
        <f>'Rozl.poż.pr.cel.-plan 2008-10'!H59</f>
        <v>0</v>
      </c>
      <c r="I20" s="35">
        <f>'Rozl.poż.pr.cel.-plan 2008-10'!I59</f>
        <v>0</v>
      </c>
      <c r="J20" s="36"/>
    </row>
    <row r="21" spans="1:11">
      <c r="A21" s="30">
        <v>3</v>
      </c>
      <c r="B21" s="31" t="s">
        <v>581</v>
      </c>
      <c r="C21" s="32" t="s">
        <v>584</v>
      </c>
      <c r="D21" s="33">
        <f>'Rozl.poż.pr.cel.-plan 2008-10'!D60</f>
        <v>147935</v>
      </c>
      <c r="E21" s="33">
        <f>'Rozl.poż.pr.cel.-plan 2008-10'!E60</f>
        <v>0</v>
      </c>
      <c r="F21" s="33">
        <f>'Rozl.poż.pr.cel.-plan 2008-10'!F60</f>
        <v>62198</v>
      </c>
      <c r="G21" s="33">
        <f>'Rozl.poż.pr.cel.-plan 2008-10'!G60</f>
        <v>0</v>
      </c>
      <c r="H21" s="33">
        <f>'Rozl.poż.pr.cel.-plan 2008-10'!H60</f>
        <v>35942</v>
      </c>
      <c r="I21" s="35">
        <f>'Rozl.poż.pr.cel.-plan 2008-10'!I60</f>
        <v>49795</v>
      </c>
      <c r="J21" s="36"/>
    </row>
    <row r="22" spans="1:11">
      <c r="A22" s="30">
        <v>4</v>
      </c>
      <c r="B22" s="31" t="s">
        <v>585</v>
      </c>
      <c r="C22" s="32" t="s">
        <v>582</v>
      </c>
      <c r="D22" s="33">
        <f>'Rozl.poż.pr.cel.-plan 2008-10'!D61</f>
        <v>49795</v>
      </c>
      <c r="E22" s="33">
        <f>'Rozl.poż.pr.cel.-plan 2008-10'!E61</f>
        <v>0</v>
      </c>
      <c r="F22" s="33">
        <f>'Rozl.poż.pr.cel.-plan 2008-10'!F61</f>
        <v>6050</v>
      </c>
      <c r="G22" s="33">
        <f>'Rozl.poż.pr.cel.-plan 2008-10'!G61</f>
        <v>0</v>
      </c>
      <c r="H22" s="33">
        <f>'Rozl.poż.pr.cel.-plan 2008-10'!H61</f>
        <v>42218</v>
      </c>
      <c r="I22" s="35">
        <f>'Rozl.poż.pr.cel.-plan 2008-10'!I61</f>
        <v>1527</v>
      </c>
      <c r="J22" s="36"/>
    </row>
    <row r="23" spans="1:11">
      <c r="A23" s="30">
        <v>5</v>
      </c>
      <c r="B23" s="31" t="s">
        <v>587</v>
      </c>
      <c r="C23" s="32" t="s">
        <v>582</v>
      </c>
      <c r="D23" s="33">
        <f>'Rozl.poż.pr.cel.-plan 2008-10'!D62</f>
        <v>1527</v>
      </c>
      <c r="E23" s="33">
        <f>'Rozl.poż.pr.cel.-plan 2008-10'!E62</f>
        <v>0</v>
      </c>
      <c r="F23" s="33">
        <f>'Rozl.poż.pr.cel.-plan 2008-10'!F62</f>
        <v>1527</v>
      </c>
      <c r="G23" s="33">
        <f>'Rozl.poż.pr.cel.-plan 2008-10'!G62</f>
        <v>0</v>
      </c>
      <c r="H23" s="33">
        <f>'Rozl.poż.pr.cel.-plan 2008-10'!H62</f>
        <v>0</v>
      </c>
      <c r="I23" s="35">
        <f>'Rozl.poż.pr.cel.-plan 2008-10'!I62</f>
        <v>0</v>
      </c>
      <c r="J23" s="36"/>
    </row>
    <row r="24" spans="1:11">
      <c r="A24" s="30">
        <v>6</v>
      </c>
      <c r="B24" s="31" t="s">
        <v>588</v>
      </c>
      <c r="C24" s="32" t="s">
        <v>582</v>
      </c>
      <c r="D24" s="33">
        <f>'Rozl.poż.pr.cel.-plan 2008-10'!D63</f>
        <v>0</v>
      </c>
      <c r="E24" s="33">
        <f>'Rozl.poż.pr.cel.-plan 2008-10'!E63</f>
        <v>0</v>
      </c>
      <c r="F24" s="33">
        <f>'Rozl.poż.pr.cel.-plan 2008-10'!F63</f>
        <v>0</v>
      </c>
      <c r="G24" s="33">
        <f>'Rozl.poż.pr.cel.-plan 2008-10'!G63</f>
        <v>0</v>
      </c>
      <c r="H24" s="33">
        <f>'Rozl.poż.pr.cel.-plan 2008-10'!H63</f>
        <v>0</v>
      </c>
      <c r="I24" s="35">
        <f>'Rozl.poż.pr.cel.-plan 2008-10'!I63</f>
        <v>0</v>
      </c>
      <c r="J24" s="36"/>
    </row>
    <row r="25" spans="1:11">
      <c r="A25" s="39"/>
      <c r="B25" s="40"/>
      <c r="C25" s="41"/>
      <c r="D25" s="48"/>
      <c r="E25" s="48"/>
      <c r="F25" s="48"/>
      <c r="G25" s="49"/>
      <c r="H25" s="49"/>
      <c r="I25" s="44"/>
    </row>
    <row r="26" spans="1:11" s="8" customFormat="1">
      <c r="A26" s="50"/>
      <c r="B26" s="51"/>
      <c r="C26" s="52" t="s">
        <v>591</v>
      </c>
      <c r="D26" s="53"/>
      <c r="E26" s="53"/>
      <c r="F26" s="53"/>
      <c r="G26" s="53"/>
      <c r="H26" s="53"/>
      <c r="I26" s="54"/>
    </row>
    <row r="27" spans="1:11">
      <c r="A27" s="30">
        <v>1</v>
      </c>
      <c r="B27" s="31" t="s">
        <v>581</v>
      </c>
      <c r="C27" s="32" t="s">
        <v>582</v>
      </c>
      <c r="D27" s="55">
        <f t="shared" ref="D27:I32" si="0">SUM(D11,D19)</f>
        <v>27280899</v>
      </c>
      <c r="E27" s="55">
        <f t="shared" si="0"/>
        <v>54900</v>
      </c>
      <c r="F27" s="55">
        <f t="shared" si="0"/>
        <v>495360</v>
      </c>
      <c r="G27" s="55">
        <f t="shared" si="0"/>
        <v>1622044</v>
      </c>
      <c r="H27" s="55">
        <f t="shared" si="0"/>
        <v>725771</v>
      </c>
      <c r="I27" s="56">
        <f t="shared" si="0"/>
        <v>24492624</v>
      </c>
      <c r="J27" s="36"/>
      <c r="K27" s="36"/>
    </row>
    <row r="28" spans="1:11">
      <c r="A28" s="30">
        <v>2</v>
      </c>
      <c r="B28" s="31" t="s">
        <v>581</v>
      </c>
      <c r="C28" s="32" t="s">
        <v>583</v>
      </c>
      <c r="D28" s="55">
        <f t="shared" si="0"/>
        <v>0</v>
      </c>
      <c r="E28" s="55">
        <f t="shared" si="0"/>
        <v>0</v>
      </c>
      <c r="F28" s="55">
        <f t="shared" si="0"/>
        <v>0</v>
      </c>
      <c r="G28" s="55">
        <f t="shared" si="0"/>
        <v>0</v>
      </c>
      <c r="H28" s="55">
        <f t="shared" si="0"/>
        <v>0</v>
      </c>
      <c r="I28" s="56">
        <f t="shared" si="0"/>
        <v>0</v>
      </c>
      <c r="J28" s="36"/>
      <c r="K28" s="36"/>
    </row>
    <row r="29" spans="1:11">
      <c r="A29" s="30">
        <v>3</v>
      </c>
      <c r="B29" s="31" t="s">
        <v>581</v>
      </c>
      <c r="C29" s="32" t="s">
        <v>584</v>
      </c>
      <c r="D29" s="55">
        <f t="shared" si="0"/>
        <v>24640559</v>
      </c>
      <c r="E29" s="55">
        <f t="shared" si="0"/>
        <v>0</v>
      </c>
      <c r="F29" s="55">
        <f t="shared" si="0"/>
        <v>962198</v>
      </c>
      <c r="G29" s="55">
        <f t="shared" si="0"/>
        <v>4000000</v>
      </c>
      <c r="H29" s="55">
        <f t="shared" si="0"/>
        <v>2035942</v>
      </c>
      <c r="I29" s="56">
        <f t="shared" si="0"/>
        <v>17642419</v>
      </c>
      <c r="J29" s="36"/>
      <c r="K29" s="36"/>
    </row>
    <row r="30" spans="1:11">
      <c r="A30" s="30">
        <v>4</v>
      </c>
      <c r="B30" s="31" t="s">
        <v>585</v>
      </c>
      <c r="C30" s="32" t="s">
        <v>582</v>
      </c>
      <c r="D30" s="55">
        <f t="shared" si="0"/>
        <v>17642419</v>
      </c>
      <c r="E30" s="55">
        <f t="shared" si="0"/>
        <v>0</v>
      </c>
      <c r="F30" s="55">
        <f t="shared" si="0"/>
        <v>806050</v>
      </c>
      <c r="G30" s="55">
        <f t="shared" si="0"/>
        <v>4000000</v>
      </c>
      <c r="H30" s="55">
        <f t="shared" si="0"/>
        <v>2042218</v>
      </c>
      <c r="I30" s="56">
        <f t="shared" si="0"/>
        <v>10794151</v>
      </c>
      <c r="J30" s="36"/>
      <c r="K30" s="36"/>
    </row>
    <row r="31" spans="1:11">
      <c r="A31" s="30">
        <v>5</v>
      </c>
      <c r="B31" s="31" t="s">
        <v>587</v>
      </c>
      <c r="C31" s="32" t="s">
        <v>582</v>
      </c>
      <c r="D31" s="55">
        <f t="shared" si="0"/>
        <v>10794151</v>
      </c>
      <c r="E31" s="55">
        <f t="shared" si="0"/>
        <v>0</v>
      </c>
      <c r="F31" s="55">
        <f t="shared" si="0"/>
        <v>701527</v>
      </c>
      <c r="G31" s="55">
        <f t="shared" si="0"/>
        <v>4000000</v>
      </c>
      <c r="H31" s="55">
        <f t="shared" si="0"/>
        <v>1800000</v>
      </c>
      <c r="I31" s="56">
        <f t="shared" si="0"/>
        <v>4292624</v>
      </c>
      <c r="J31" s="36"/>
      <c r="K31" s="36"/>
    </row>
    <row r="32" spans="1:11">
      <c r="A32" s="30">
        <v>6</v>
      </c>
      <c r="B32" s="31" t="s">
        <v>588</v>
      </c>
      <c r="C32" s="32" t="s">
        <v>582</v>
      </c>
      <c r="D32" s="55">
        <f t="shared" si="0"/>
        <v>4292624</v>
      </c>
      <c r="E32" s="55">
        <f t="shared" si="0"/>
        <v>0</v>
      </c>
      <c r="F32" s="55">
        <f t="shared" si="0"/>
        <v>600000</v>
      </c>
      <c r="G32" s="55">
        <f t="shared" si="0"/>
        <v>3000000</v>
      </c>
      <c r="H32" s="55">
        <f t="shared" si="0"/>
        <v>692624</v>
      </c>
      <c r="I32" s="56">
        <f t="shared" si="0"/>
        <v>0</v>
      </c>
      <c r="J32" s="36"/>
      <c r="K32" s="36"/>
    </row>
    <row r="33" spans="1:11">
      <c r="A33" s="57"/>
      <c r="B33" s="58"/>
      <c r="C33" s="59"/>
      <c r="D33" s="60"/>
      <c r="E33" s="60"/>
      <c r="F33" s="60"/>
      <c r="G33" s="61"/>
      <c r="H33" s="61"/>
      <c r="I33" s="62"/>
    </row>
    <row r="34" spans="1:11">
      <c r="A34" s="25"/>
      <c r="B34" s="26"/>
      <c r="C34" s="27" t="s">
        <v>592</v>
      </c>
      <c r="D34" s="46"/>
      <c r="E34" s="46"/>
      <c r="F34" s="46"/>
      <c r="G34" s="46"/>
      <c r="H34" s="46"/>
      <c r="I34" s="63"/>
    </row>
    <row r="35" spans="1:11">
      <c r="A35" s="30">
        <v>1</v>
      </c>
      <c r="B35" s="31" t="s">
        <v>581</v>
      </c>
      <c r="C35" s="32" t="s">
        <v>582</v>
      </c>
      <c r="D35" s="64">
        <v>0</v>
      </c>
      <c r="E35" s="64">
        <v>0</v>
      </c>
      <c r="F35" s="64">
        <v>0</v>
      </c>
      <c r="G35" s="34">
        <v>0</v>
      </c>
      <c r="H35" s="37" t="s">
        <v>586</v>
      </c>
      <c r="I35" s="65">
        <f>SUM(D35,E35)-SUM(F35,G35)</f>
        <v>0</v>
      </c>
      <c r="J35" s="36"/>
    </row>
    <row r="36" spans="1:11">
      <c r="A36" s="30">
        <v>2</v>
      </c>
      <c r="B36" s="31" t="s">
        <v>581</v>
      </c>
      <c r="C36" s="32" t="s">
        <v>583</v>
      </c>
      <c r="D36" s="64"/>
      <c r="E36" s="64"/>
      <c r="F36" s="64"/>
      <c r="G36" s="34"/>
      <c r="H36" s="37"/>
      <c r="I36" s="65"/>
      <c r="J36" s="36"/>
    </row>
    <row r="37" spans="1:11">
      <c r="A37" s="30">
        <v>3</v>
      </c>
      <c r="B37" s="31" t="s">
        <v>581</v>
      </c>
      <c r="C37" s="32" t="s">
        <v>584</v>
      </c>
      <c r="D37" s="64">
        <v>1571558.16</v>
      </c>
      <c r="E37" s="64">
        <v>1700000</v>
      </c>
      <c r="F37" s="64">
        <v>1600000</v>
      </c>
      <c r="G37" s="38">
        <v>5000</v>
      </c>
      <c r="H37" s="37" t="s">
        <v>586</v>
      </c>
      <c r="I37" s="65">
        <f>SUM(D37,E37)-SUM(F37,G37)</f>
        <v>1666558.1600000001</v>
      </c>
      <c r="J37" s="36"/>
    </row>
    <row r="38" spans="1:11">
      <c r="A38" s="30">
        <v>4</v>
      </c>
      <c r="B38" s="31" t="s">
        <v>585</v>
      </c>
      <c r="C38" s="32" t="s">
        <v>582</v>
      </c>
      <c r="D38" s="64">
        <f>I37</f>
        <v>1666558.1600000001</v>
      </c>
      <c r="E38" s="64">
        <v>1750000</v>
      </c>
      <c r="F38" s="64">
        <v>1650000</v>
      </c>
      <c r="G38" s="38">
        <v>5000</v>
      </c>
      <c r="H38" s="37" t="s">
        <v>586</v>
      </c>
      <c r="I38" s="65">
        <f>SUM(D38,E38)-SUM(F38,G38)</f>
        <v>1761558.1600000001</v>
      </c>
      <c r="J38" s="36"/>
    </row>
    <row r="39" spans="1:11">
      <c r="A39" s="30">
        <v>5</v>
      </c>
      <c r="B39" s="31" t="s">
        <v>587</v>
      </c>
      <c r="C39" s="32" t="s">
        <v>582</v>
      </c>
      <c r="D39" s="64">
        <f>I38</f>
        <v>1761558.1600000001</v>
      </c>
      <c r="E39" s="64">
        <v>1850000</v>
      </c>
      <c r="F39" s="64">
        <v>1800000</v>
      </c>
      <c r="G39" s="38">
        <v>5000</v>
      </c>
      <c r="H39" s="37" t="s">
        <v>586</v>
      </c>
      <c r="I39" s="65">
        <f>SUM(D39,E39)-SUM(F39,G39)</f>
        <v>1806558.1600000001</v>
      </c>
      <c r="J39" s="36"/>
    </row>
    <row r="40" spans="1:11">
      <c r="A40" s="30">
        <v>6</v>
      </c>
      <c r="B40" s="31" t="s">
        <v>588</v>
      </c>
      <c r="C40" s="32" t="s">
        <v>582</v>
      </c>
      <c r="D40" s="64">
        <f>I39</f>
        <v>1806558.1600000001</v>
      </c>
      <c r="E40" s="64">
        <v>1850000</v>
      </c>
      <c r="F40" s="64">
        <v>1760000</v>
      </c>
      <c r="G40" s="38">
        <v>5000</v>
      </c>
      <c r="H40" s="37" t="s">
        <v>586</v>
      </c>
      <c r="I40" s="65">
        <f>SUM(D40,E40)-SUM(F40,G40)</f>
        <v>1891558.1600000001</v>
      </c>
      <c r="J40" s="36"/>
    </row>
    <row r="41" spans="1:11">
      <c r="A41" s="66"/>
      <c r="B41" s="40"/>
      <c r="C41" s="41"/>
      <c r="D41" s="48"/>
      <c r="E41" s="48"/>
      <c r="F41" s="48"/>
      <c r="G41" s="49"/>
      <c r="H41" s="49"/>
      <c r="I41" s="67"/>
    </row>
    <row r="42" spans="1:11">
      <c r="A42" s="68"/>
      <c r="B42" s="68"/>
      <c r="C42" s="69" t="s">
        <v>593</v>
      </c>
      <c r="D42" s="70"/>
      <c r="E42" s="70"/>
      <c r="F42" s="70"/>
      <c r="G42" s="70"/>
      <c r="H42" s="70"/>
      <c r="I42" s="71"/>
    </row>
    <row r="43" spans="1:11">
      <c r="A43" s="30">
        <v>1</v>
      </c>
      <c r="B43" s="31" t="s">
        <v>581</v>
      </c>
      <c r="C43" s="32" t="s">
        <v>582</v>
      </c>
      <c r="D43" s="72">
        <f t="shared" ref="D43:I43" si="1">SUM(D27,D35)</f>
        <v>27280899</v>
      </c>
      <c r="E43" s="72">
        <f t="shared" si="1"/>
        <v>54900</v>
      </c>
      <c r="F43" s="72">
        <f t="shared" si="1"/>
        <v>495360</v>
      </c>
      <c r="G43" s="72">
        <f t="shared" si="1"/>
        <v>1622044</v>
      </c>
      <c r="H43" s="72">
        <f t="shared" si="1"/>
        <v>725771</v>
      </c>
      <c r="I43" s="73">
        <f t="shared" si="1"/>
        <v>24492624</v>
      </c>
      <c r="J43" s="36"/>
      <c r="K43" s="36"/>
    </row>
    <row r="44" spans="1:11">
      <c r="A44" s="30">
        <v>2</v>
      </c>
      <c r="B44" s="31" t="s">
        <v>581</v>
      </c>
      <c r="C44" s="32" t="s">
        <v>583</v>
      </c>
      <c r="D44" s="72"/>
      <c r="E44" s="72"/>
      <c r="F44" s="72"/>
      <c r="G44" s="72"/>
      <c r="H44" s="72"/>
      <c r="I44" s="73"/>
      <c r="J44" s="36"/>
      <c r="K44" s="36"/>
    </row>
    <row r="45" spans="1:11">
      <c r="A45" s="30">
        <v>3</v>
      </c>
      <c r="B45" s="31" t="s">
        <v>581</v>
      </c>
      <c r="C45" s="32" t="s">
        <v>584</v>
      </c>
      <c r="D45" s="72">
        <f t="shared" ref="D45:I48" si="2">SUM(D29,D37)</f>
        <v>26212117.16</v>
      </c>
      <c r="E45" s="72">
        <f t="shared" si="2"/>
        <v>1700000</v>
      </c>
      <c r="F45" s="72">
        <f t="shared" si="2"/>
        <v>2562198</v>
      </c>
      <c r="G45" s="72">
        <f t="shared" si="2"/>
        <v>4005000</v>
      </c>
      <c r="H45" s="72">
        <f t="shared" si="2"/>
        <v>2035942</v>
      </c>
      <c r="I45" s="73">
        <f t="shared" si="2"/>
        <v>19308977.16</v>
      </c>
      <c r="J45" s="36"/>
      <c r="K45" s="36"/>
    </row>
    <row r="46" spans="1:11">
      <c r="A46" s="30">
        <v>4</v>
      </c>
      <c r="B46" s="31" t="s">
        <v>585</v>
      </c>
      <c r="C46" s="32" t="s">
        <v>582</v>
      </c>
      <c r="D46" s="72">
        <f t="shared" si="2"/>
        <v>19308977.16</v>
      </c>
      <c r="E46" s="72">
        <f t="shared" si="2"/>
        <v>1750000</v>
      </c>
      <c r="F46" s="72">
        <f t="shared" si="2"/>
        <v>2456050</v>
      </c>
      <c r="G46" s="72">
        <f t="shared" si="2"/>
        <v>4005000</v>
      </c>
      <c r="H46" s="72">
        <f t="shared" si="2"/>
        <v>2042218</v>
      </c>
      <c r="I46" s="73">
        <f t="shared" si="2"/>
        <v>12555709.16</v>
      </c>
      <c r="J46" s="36"/>
      <c r="K46" s="36"/>
    </row>
    <row r="47" spans="1:11">
      <c r="A47" s="30">
        <v>5</v>
      </c>
      <c r="B47" s="31" t="s">
        <v>587</v>
      </c>
      <c r="C47" s="32" t="s">
        <v>582</v>
      </c>
      <c r="D47" s="72">
        <f t="shared" si="2"/>
        <v>12555709.16</v>
      </c>
      <c r="E47" s="72">
        <f t="shared" si="2"/>
        <v>1850000</v>
      </c>
      <c r="F47" s="72">
        <f t="shared" si="2"/>
        <v>2501527</v>
      </c>
      <c r="G47" s="72">
        <f t="shared" si="2"/>
        <v>4005000</v>
      </c>
      <c r="H47" s="72">
        <f t="shared" si="2"/>
        <v>1800000</v>
      </c>
      <c r="I47" s="73">
        <f t="shared" si="2"/>
        <v>6099182.1600000001</v>
      </c>
      <c r="J47" s="36"/>
      <c r="K47" s="36"/>
    </row>
    <row r="48" spans="1:11">
      <c r="A48" s="30">
        <v>6</v>
      </c>
      <c r="B48" s="31" t="s">
        <v>588</v>
      </c>
      <c r="C48" s="32" t="s">
        <v>582</v>
      </c>
      <c r="D48" s="72">
        <f t="shared" si="2"/>
        <v>6099182.1600000001</v>
      </c>
      <c r="E48" s="72">
        <f t="shared" si="2"/>
        <v>1850000</v>
      </c>
      <c r="F48" s="72">
        <f t="shared" si="2"/>
        <v>2360000</v>
      </c>
      <c r="G48" s="72">
        <f t="shared" si="2"/>
        <v>3005000</v>
      </c>
      <c r="H48" s="72">
        <f t="shared" si="2"/>
        <v>692624</v>
      </c>
      <c r="I48" s="73">
        <f t="shared" si="2"/>
        <v>1891558.1600000001</v>
      </c>
      <c r="J48" s="36"/>
      <c r="K48" s="36"/>
    </row>
    <row r="49" spans="1:9">
      <c r="A49" s="57"/>
      <c r="B49" s="58"/>
      <c r="C49" s="74"/>
      <c r="D49" s="75"/>
      <c r="E49" s="75"/>
      <c r="F49" s="75"/>
      <c r="G49" s="75"/>
      <c r="H49" s="75"/>
      <c r="I49" s="76"/>
    </row>
  </sheetData>
  <sheetProtection selectLockedCells="1" selectUnlockedCells="1"/>
  <mergeCells count="10">
    <mergeCell ref="A4:I4"/>
    <mergeCell ref="A5:I5"/>
    <mergeCell ref="A7:A8"/>
    <mergeCell ref="B7:C8"/>
    <mergeCell ref="D7:D8"/>
    <mergeCell ref="E7:E8"/>
    <mergeCell ref="F7:F8"/>
    <mergeCell ref="G7:G8"/>
    <mergeCell ref="H7:H8"/>
    <mergeCell ref="I7:I8"/>
  </mergeCells>
  <printOptions horizontalCentered="1"/>
  <pageMargins left="0.19652777777777777" right="0.19652777777777777" top="0.39374999999999999" bottom="0.59027777777777779" header="0.51180555555555551" footer="0"/>
  <pageSetup paperSize="9" scale="85" firstPageNumber="0" orientation="portrait" horizontalDpi="300" verticalDpi="300" r:id="rId1"/>
  <headerFooter alignWithMargins="0">
    <oddFooter>&amp;C1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view="pageBreakPreview" topLeftCell="A16" zoomScale="75" zoomScaleNormal="75" zoomScaleSheetLayoutView="75" workbookViewId="0">
      <selection activeCell="H60" sqref="H60"/>
    </sheetView>
  </sheetViews>
  <sheetFormatPr defaultRowHeight="15.6"/>
  <cols>
    <col min="1" max="1" width="4.5" style="9" customWidth="1"/>
    <col min="2" max="2" width="7" style="9" customWidth="1"/>
    <col min="3" max="3" width="31.59765625" customWidth="1"/>
    <col min="4" max="4" width="10.5" style="10" customWidth="1"/>
    <col min="5" max="7" width="10.5" style="77" customWidth="1"/>
    <col min="8" max="8" width="14.19921875" style="77" customWidth="1"/>
    <col min="9" max="9" width="10.5" style="78" customWidth="1"/>
    <col min="10" max="10" width="14.5" customWidth="1"/>
    <col min="11" max="11" width="9.09765625" customWidth="1"/>
  </cols>
  <sheetData>
    <row r="1" spans="1:10">
      <c r="A1" s="12"/>
      <c r="B1" s="79"/>
      <c r="C1" s="80"/>
      <c r="D1" s="81"/>
      <c r="E1" s="82"/>
      <c r="F1" s="82"/>
      <c r="G1" s="82"/>
      <c r="H1" s="82"/>
      <c r="I1" s="7"/>
    </row>
    <row r="2" spans="1:10">
      <c r="A2" s="12"/>
      <c r="B2" s="79"/>
      <c r="C2" s="80"/>
      <c r="D2" s="81"/>
      <c r="E2" s="82"/>
      <c r="F2" s="82"/>
      <c r="G2" s="82"/>
      <c r="H2" s="83"/>
      <c r="I2" s="84"/>
    </row>
    <row r="3" spans="1:10" ht="17.399999999999999">
      <c r="A3" s="2385" t="s">
        <v>571</v>
      </c>
      <c r="B3" s="2385"/>
      <c r="C3" s="2385"/>
      <c r="D3" s="2385"/>
      <c r="E3" s="2385"/>
      <c r="F3" s="2385"/>
      <c r="G3" s="2385"/>
      <c r="H3" s="2385"/>
      <c r="I3" s="2385"/>
    </row>
    <row r="4" spans="1:10" ht="17.399999999999999">
      <c r="A4" s="2385" t="s">
        <v>594</v>
      </c>
      <c r="B4" s="2385"/>
      <c r="C4" s="2385"/>
      <c r="D4" s="2385"/>
      <c r="E4" s="2385"/>
      <c r="F4" s="2385"/>
      <c r="G4" s="2385"/>
      <c r="H4" s="2385"/>
      <c r="I4" s="2385"/>
    </row>
    <row r="5" spans="1:10" ht="18">
      <c r="A5" s="15"/>
      <c r="B5" s="85"/>
      <c r="C5" s="15"/>
      <c r="D5" s="86"/>
      <c r="E5" s="87"/>
      <c r="F5" s="87"/>
      <c r="G5" s="87"/>
      <c r="H5" s="87"/>
      <c r="I5" s="88" t="s">
        <v>573</v>
      </c>
    </row>
    <row r="6" spans="1:10" s="8" customFormat="1" ht="32.1" customHeight="1">
      <c r="A6" s="2386" t="s">
        <v>512</v>
      </c>
      <c r="B6" s="2386" t="s">
        <v>489</v>
      </c>
      <c r="C6" s="2386"/>
      <c r="D6" s="2387" t="s">
        <v>574</v>
      </c>
      <c r="E6" s="2387" t="s">
        <v>575</v>
      </c>
      <c r="F6" s="2387" t="s">
        <v>576</v>
      </c>
      <c r="G6" s="2387" t="s">
        <v>577</v>
      </c>
      <c r="H6" s="2387" t="s">
        <v>578</v>
      </c>
      <c r="I6" s="2387" t="s">
        <v>579</v>
      </c>
    </row>
    <row r="7" spans="1:10" s="8" customFormat="1" ht="32.1" customHeight="1">
      <c r="A7" s="2386"/>
      <c r="B7" s="2386"/>
      <c r="C7" s="2386"/>
      <c r="D7" s="2387"/>
      <c r="E7" s="2387"/>
      <c r="F7" s="2387"/>
      <c r="G7" s="2387"/>
      <c r="H7" s="2387"/>
      <c r="I7" s="2387"/>
    </row>
    <row r="8" spans="1:10" s="8" customFormat="1">
      <c r="A8" s="20"/>
      <c r="B8" s="20"/>
      <c r="C8" s="89"/>
      <c r="D8" s="2"/>
      <c r="E8" s="90"/>
      <c r="F8" s="90"/>
      <c r="G8" s="91"/>
      <c r="H8" s="91"/>
      <c r="I8" s="90"/>
    </row>
    <row r="9" spans="1:10">
      <c r="A9" s="25" t="s">
        <v>595</v>
      </c>
      <c r="B9" s="26"/>
      <c r="C9" s="27" t="s">
        <v>596</v>
      </c>
      <c r="D9" s="28"/>
      <c r="E9" s="92"/>
      <c r="F9" s="92"/>
      <c r="G9" s="92"/>
      <c r="H9" s="92"/>
      <c r="I9" s="93"/>
    </row>
    <row r="10" spans="1:10">
      <c r="A10" s="30">
        <v>1</v>
      </c>
      <c r="B10" s="31" t="s">
        <v>581</v>
      </c>
      <c r="C10" s="32" t="s">
        <v>582</v>
      </c>
      <c r="D10" s="38">
        <v>0</v>
      </c>
      <c r="E10" s="94" t="s">
        <v>586</v>
      </c>
      <c r="F10" s="38">
        <v>0</v>
      </c>
      <c r="G10" s="94" t="s">
        <v>586</v>
      </c>
      <c r="H10" s="94" t="s">
        <v>586</v>
      </c>
      <c r="I10" s="38">
        <f t="shared" ref="I10:I15" si="0">SUM(D10,E10)-SUM(F10:H10)</f>
        <v>0</v>
      </c>
      <c r="J10" s="36"/>
    </row>
    <row r="11" spans="1:10">
      <c r="A11" s="30">
        <v>2</v>
      </c>
      <c r="B11" s="31" t="s">
        <v>581</v>
      </c>
      <c r="C11" s="32" t="s">
        <v>583</v>
      </c>
      <c r="D11" s="38"/>
      <c r="E11" s="94" t="s">
        <v>586</v>
      </c>
      <c r="F11" s="38"/>
      <c r="G11" s="94" t="s">
        <v>586</v>
      </c>
      <c r="H11" s="38"/>
      <c r="I11" s="38">
        <f t="shared" si="0"/>
        <v>0</v>
      </c>
      <c r="J11" s="36"/>
    </row>
    <row r="12" spans="1:10">
      <c r="A12" s="30">
        <v>3</v>
      </c>
      <c r="B12" s="31" t="s">
        <v>581</v>
      </c>
      <c r="C12" s="32" t="s">
        <v>584</v>
      </c>
      <c r="D12" s="38">
        <f>64618</f>
        <v>64618</v>
      </c>
      <c r="E12" s="94" t="s">
        <v>586</v>
      </c>
      <c r="F12" s="38">
        <f>1200</f>
        <v>1200</v>
      </c>
      <c r="G12" s="94" t="s">
        <v>586</v>
      </c>
      <c r="H12" s="38">
        <v>20000</v>
      </c>
      <c r="I12" s="38">
        <f t="shared" si="0"/>
        <v>43418</v>
      </c>
      <c r="J12" s="36"/>
    </row>
    <row r="13" spans="1:10">
      <c r="A13" s="30">
        <v>4</v>
      </c>
      <c r="B13" s="31" t="s">
        <v>585</v>
      </c>
      <c r="C13" s="32" t="s">
        <v>582</v>
      </c>
      <c r="D13" s="38">
        <f>I12</f>
        <v>43418</v>
      </c>
      <c r="E13" s="94" t="s">
        <v>586</v>
      </c>
      <c r="F13" s="38">
        <v>1200</v>
      </c>
      <c r="G13" s="94" t="s">
        <v>586</v>
      </c>
      <c r="H13" s="38">
        <v>42218</v>
      </c>
      <c r="I13" s="38">
        <f t="shared" si="0"/>
        <v>0</v>
      </c>
      <c r="J13" s="36"/>
    </row>
    <row r="14" spans="1:10">
      <c r="A14" s="30">
        <v>5</v>
      </c>
      <c r="B14" s="31" t="s">
        <v>587</v>
      </c>
      <c r="C14" s="32" t="s">
        <v>582</v>
      </c>
      <c r="D14" s="38">
        <f>I13</f>
        <v>0</v>
      </c>
      <c r="E14" s="94" t="s">
        <v>586</v>
      </c>
      <c r="F14" s="38">
        <v>0</v>
      </c>
      <c r="G14" s="94" t="s">
        <v>586</v>
      </c>
      <c r="H14" s="94" t="s">
        <v>586</v>
      </c>
      <c r="I14" s="38">
        <f t="shared" si="0"/>
        <v>0</v>
      </c>
      <c r="J14" s="36"/>
    </row>
    <row r="15" spans="1:10">
      <c r="A15" s="30">
        <v>6</v>
      </c>
      <c r="B15" s="31" t="s">
        <v>588</v>
      </c>
      <c r="C15" s="32" t="s">
        <v>582</v>
      </c>
      <c r="D15" s="38">
        <f>I14</f>
        <v>0</v>
      </c>
      <c r="E15" s="94" t="s">
        <v>586</v>
      </c>
      <c r="F15" s="38">
        <v>0</v>
      </c>
      <c r="G15" s="94" t="s">
        <v>586</v>
      </c>
      <c r="H15" s="94" t="s">
        <v>586</v>
      </c>
      <c r="I15" s="38">
        <f t="shared" si="0"/>
        <v>0</v>
      </c>
      <c r="J15" s="36"/>
    </row>
    <row r="16" spans="1:10">
      <c r="A16" s="39"/>
      <c r="B16" s="40"/>
      <c r="C16" s="95"/>
      <c r="D16" s="96"/>
      <c r="E16" s="97"/>
      <c r="F16" s="96"/>
      <c r="G16" s="96"/>
      <c r="H16" s="96"/>
      <c r="I16" s="98"/>
      <c r="J16" s="36"/>
    </row>
    <row r="17" spans="1:10" ht="16.5" customHeight="1">
      <c r="A17" s="45" t="s">
        <v>597</v>
      </c>
      <c r="B17" s="26"/>
      <c r="C17" s="27" t="s">
        <v>598</v>
      </c>
      <c r="D17" s="99"/>
      <c r="E17" s="99"/>
      <c r="F17" s="99"/>
      <c r="G17" s="99"/>
      <c r="H17" s="99"/>
      <c r="I17" s="100"/>
      <c r="J17" s="36"/>
    </row>
    <row r="18" spans="1:10">
      <c r="A18" s="30">
        <v>1</v>
      </c>
      <c r="B18" s="31" t="s">
        <v>581</v>
      </c>
      <c r="C18" s="32" t="s">
        <v>582</v>
      </c>
      <c r="D18" s="34"/>
      <c r="E18" s="94" t="s">
        <v>586</v>
      </c>
      <c r="F18" s="38">
        <v>0</v>
      </c>
      <c r="G18" s="34">
        <v>0</v>
      </c>
      <c r="H18" s="94" t="s">
        <v>586</v>
      </c>
      <c r="I18" s="101">
        <f t="shared" ref="I18:I23" si="1">SUM(D18,E18)-SUM(F18:H18)</f>
        <v>0</v>
      </c>
      <c r="J18" s="36"/>
    </row>
    <row r="19" spans="1:10">
      <c r="A19" s="30">
        <v>2</v>
      </c>
      <c r="B19" s="31" t="s">
        <v>581</v>
      </c>
      <c r="C19" s="32" t="s">
        <v>583</v>
      </c>
      <c r="D19" s="34"/>
      <c r="E19" s="94"/>
      <c r="F19" s="38"/>
      <c r="G19" s="34"/>
      <c r="H19" s="94"/>
      <c r="I19" s="101">
        <f t="shared" si="1"/>
        <v>0</v>
      </c>
      <c r="J19" s="36"/>
    </row>
    <row r="20" spans="1:10">
      <c r="A20" s="30">
        <v>3</v>
      </c>
      <c r="B20" s="31" t="s">
        <v>581</v>
      </c>
      <c r="C20" s="32" t="s">
        <v>584</v>
      </c>
      <c r="D20" s="34">
        <v>15942</v>
      </c>
      <c r="E20" s="94" t="s">
        <v>586</v>
      </c>
      <c r="F20" s="38">
        <v>0</v>
      </c>
      <c r="G20" s="94" t="s">
        <v>586</v>
      </c>
      <c r="H20" s="38">
        <v>15942</v>
      </c>
      <c r="I20" s="101">
        <f t="shared" si="1"/>
        <v>0</v>
      </c>
      <c r="J20" s="36"/>
    </row>
    <row r="21" spans="1:10">
      <c r="A21" s="30">
        <v>4</v>
      </c>
      <c r="B21" s="31" t="s">
        <v>585</v>
      </c>
      <c r="C21" s="32" t="s">
        <v>582</v>
      </c>
      <c r="D21" s="34">
        <f>I20</f>
        <v>0</v>
      </c>
      <c r="E21" s="94" t="s">
        <v>586</v>
      </c>
      <c r="F21" s="38">
        <v>0</v>
      </c>
      <c r="G21" s="94" t="s">
        <v>586</v>
      </c>
      <c r="H21" s="38">
        <v>0</v>
      </c>
      <c r="I21" s="101">
        <f t="shared" si="1"/>
        <v>0</v>
      </c>
      <c r="J21" s="36"/>
    </row>
    <row r="22" spans="1:10">
      <c r="A22" s="30">
        <v>5</v>
      </c>
      <c r="B22" s="31" t="s">
        <v>587</v>
      </c>
      <c r="C22" s="32" t="s">
        <v>582</v>
      </c>
      <c r="D22" s="34">
        <f>I21</f>
        <v>0</v>
      </c>
      <c r="E22" s="94"/>
      <c r="F22" s="38">
        <v>0</v>
      </c>
      <c r="G22" s="34"/>
      <c r="H22" s="94"/>
      <c r="I22" s="101">
        <f t="shared" si="1"/>
        <v>0</v>
      </c>
      <c r="J22" s="36"/>
    </row>
    <row r="23" spans="1:10">
      <c r="A23" s="30">
        <v>6</v>
      </c>
      <c r="B23" s="31" t="s">
        <v>588</v>
      </c>
      <c r="C23" s="32" t="s">
        <v>582</v>
      </c>
      <c r="D23" s="34">
        <f>I22</f>
        <v>0</v>
      </c>
      <c r="E23" s="94"/>
      <c r="F23" s="38">
        <v>0</v>
      </c>
      <c r="G23" s="34">
        <v>0</v>
      </c>
      <c r="H23" s="94"/>
      <c r="I23" s="101">
        <f t="shared" si="1"/>
        <v>0</v>
      </c>
      <c r="J23" s="36"/>
    </row>
    <row r="24" spans="1:10">
      <c r="A24" s="39"/>
      <c r="B24" s="40"/>
      <c r="C24" s="95"/>
      <c r="D24" s="102"/>
      <c r="E24" s="103"/>
      <c r="F24" s="102"/>
      <c r="G24" s="102"/>
      <c r="H24" s="102"/>
      <c r="I24" s="104"/>
      <c r="J24" s="36"/>
    </row>
    <row r="25" spans="1:10">
      <c r="A25" s="45" t="s">
        <v>599</v>
      </c>
      <c r="B25" s="26"/>
      <c r="C25" s="27" t="s">
        <v>600</v>
      </c>
      <c r="D25" s="105"/>
      <c r="E25" s="105"/>
      <c r="F25" s="105"/>
      <c r="G25" s="105"/>
      <c r="H25" s="105"/>
      <c r="I25" s="47"/>
      <c r="J25" s="36"/>
    </row>
    <row r="26" spans="1:10">
      <c r="A26" s="30">
        <v>1</v>
      </c>
      <c r="B26" s="31" t="s">
        <v>581</v>
      </c>
      <c r="C26" s="32" t="s">
        <v>582</v>
      </c>
      <c r="D26" s="106">
        <v>0</v>
      </c>
      <c r="E26" s="107" t="s">
        <v>586</v>
      </c>
      <c r="F26" s="106">
        <v>0</v>
      </c>
      <c r="G26" s="34">
        <v>0</v>
      </c>
      <c r="H26" s="107" t="s">
        <v>586</v>
      </c>
      <c r="I26" s="108">
        <f>SUM(D26:E26)-SUM(F26:H26)</f>
        <v>0</v>
      </c>
      <c r="J26" s="36"/>
    </row>
    <row r="27" spans="1:10">
      <c r="A27" s="30">
        <v>2</v>
      </c>
      <c r="B27" s="31" t="s">
        <v>581</v>
      </c>
      <c r="C27" s="32" t="s">
        <v>583</v>
      </c>
      <c r="D27" s="107"/>
      <c r="E27" s="107"/>
      <c r="F27" s="107"/>
      <c r="G27" s="107"/>
      <c r="H27" s="107"/>
      <c r="I27" s="107"/>
      <c r="J27" s="36"/>
    </row>
    <row r="28" spans="1:10">
      <c r="A28" s="30">
        <v>3</v>
      </c>
      <c r="B28" s="31" t="s">
        <v>581</v>
      </c>
      <c r="C28" s="32" t="s">
        <v>584</v>
      </c>
      <c r="D28" s="109">
        <v>0</v>
      </c>
      <c r="E28" s="107" t="s">
        <v>586</v>
      </c>
      <c r="F28" s="109">
        <v>0</v>
      </c>
      <c r="G28" s="107" t="s">
        <v>586</v>
      </c>
      <c r="H28" s="109">
        <v>0</v>
      </c>
      <c r="I28" s="110">
        <f>SUM(D28:E28)-SUM(F28:H28)</f>
        <v>0</v>
      </c>
      <c r="J28" s="36"/>
    </row>
    <row r="29" spans="1:10">
      <c r="A29" s="30">
        <v>4</v>
      </c>
      <c r="B29" s="31" t="s">
        <v>585</v>
      </c>
      <c r="C29" s="32" t="s">
        <v>582</v>
      </c>
      <c r="D29" s="107"/>
      <c r="E29" s="107"/>
      <c r="F29" s="107"/>
      <c r="G29" s="107"/>
      <c r="H29" s="107"/>
      <c r="I29" s="107"/>
      <c r="J29" s="36"/>
    </row>
    <row r="30" spans="1:10">
      <c r="A30" s="30">
        <v>5</v>
      </c>
      <c r="B30" s="31" t="s">
        <v>587</v>
      </c>
      <c r="C30" s="32" t="s">
        <v>582</v>
      </c>
      <c r="D30" s="107"/>
      <c r="E30" s="107"/>
      <c r="F30" s="107"/>
      <c r="G30" s="107"/>
      <c r="H30" s="107"/>
      <c r="I30" s="107"/>
      <c r="J30" s="36"/>
    </row>
    <row r="31" spans="1:10">
      <c r="A31" s="30">
        <v>6</v>
      </c>
      <c r="B31" s="31" t="s">
        <v>588</v>
      </c>
      <c r="C31" s="32" t="s">
        <v>582</v>
      </c>
      <c r="D31" s="107"/>
      <c r="E31" s="107"/>
      <c r="F31" s="107"/>
      <c r="G31" s="107"/>
      <c r="H31" s="107"/>
      <c r="I31" s="107"/>
      <c r="J31" s="36"/>
    </row>
    <row r="32" spans="1:10">
      <c r="A32" s="39"/>
      <c r="B32" s="40"/>
      <c r="C32" s="95"/>
      <c r="D32" s="102"/>
      <c r="E32" s="103"/>
      <c r="F32" s="102"/>
      <c r="G32" s="102"/>
      <c r="H32" s="102"/>
      <c r="I32" s="111"/>
      <c r="J32" s="36"/>
    </row>
    <row r="33" spans="1:10">
      <c r="A33" s="45" t="s">
        <v>601</v>
      </c>
      <c r="B33" s="26"/>
      <c r="C33" s="27" t="s">
        <v>602</v>
      </c>
      <c r="D33" s="105"/>
      <c r="E33" s="105"/>
      <c r="F33" s="105"/>
      <c r="G33" s="105"/>
      <c r="H33" s="105"/>
      <c r="I33" s="47"/>
      <c r="J33" s="36"/>
    </row>
    <row r="34" spans="1:10">
      <c r="A34" s="30">
        <v>1</v>
      </c>
      <c r="B34" s="31" t="s">
        <v>581</v>
      </c>
      <c r="C34" s="32" t="s">
        <v>582</v>
      </c>
      <c r="D34" s="34">
        <v>0</v>
      </c>
      <c r="E34" s="107" t="s">
        <v>586</v>
      </c>
      <c r="F34" s="106">
        <v>0</v>
      </c>
      <c r="G34" s="106">
        <v>0</v>
      </c>
      <c r="H34" s="107" t="s">
        <v>586</v>
      </c>
      <c r="I34" s="65">
        <f>SUM(D34,E34)-SUM(F34:H34)</f>
        <v>0</v>
      </c>
      <c r="J34" s="36"/>
    </row>
    <row r="35" spans="1:10">
      <c r="A35" s="30">
        <v>2</v>
      </c>
      <c r="B35" s="31" t="s">
        <v>581</v>
      </c>
      <c r="C35" s="32" t="s">
        <v>583</v>
      </c>
      <c r="D35" s="34"/>
      <c r="E35" s="107"/>
      <c r="F35" s="106"/>
      <c r="G35" s="106"/>
      <c r="H35" s="107"/>
      <c r="I35" s="65"/>
      <c r="J35" s="36"/>
    </row>
    <row r="36" spans="1:10">
      <c r="A36" s="30">
        <v>3</v>
      </c>
      <c r="B36" s="31" t="s">
        <v>581</v>
      </c>
      <c r="C36" s="32" t="s">
        <v>584</v>
      </c>
      <c r="D36" s="34">
        <v>54996</v>
      </c>
      <c r="E36" s="107" t="s">
        <v>586</v>
      </c>
      <c r="F36" s="106">
        <v>48912</v>
      </c>
      <c r="G36" s="106">
        <v>0</v>
      </c>
      <c r="H36" s="109">
        <v>0</v>
      </c>
      <c r="I36" s="65">
        <f>SUM(D36,E36)-SUM(F36:H36)</f>
        <v>6084</v>
      </c>
      <c r="J36" s="36"/>
    </row>
    <row r="37" spans="1:10">
      <c r="A37" s="30">
        <v>4</v>
      </c>
      <c r="B37" s="31" t="s">
        <v>585</v>
      </c>
      <c r="C37" s="32" t="s">
        <v>582</v>
      </c>
      <c r="D37" s="34">
        <f>I36</f>
        <v>6084</v>
      </c>
      <c r="E37" s="107" t="s">
        <v>586</v>
      </c>
      <c r="F37" s="106">
        <v>4557</v>
      </c>
      <c r="G37" s="106">
        <v>0</v>
      </c>
      <c r="H37" s="109">
        <v>0</v>
      </c>
      <c r="I37" s="65">
        <f>SUM(D37,E37)-SUM(F37:H37)</f>
        <v>1527</v>
      </c>
      <c r="J37" s="36"/>
    </row>
    <row r="38" spans="1:10">
      <c r="A38" s="30">
        <v>5</v>
      </c>
      <c r="B38" s="31" t="s">
        <v>587</v>
      </c>
      <c r="C38" s="32" t="s">
        <v>582</v>
      </c>
      <c r="D38" s="34">
        <f>I37</f>
        <v>1527</v>
      </c>
      <c r="E38" s="107" t="s">
        <v>586</v>
      </c>
      <c r="F38" s="106">
        <v>1527</v>
      </c>
      <c r="G38" s="106">
        <v>0</v>
      </c>
      <c r="H38" s="109">
        <v>0</v>
      </c>
      <c r="I38" s="65">
        <f>SUM(D38,E38)-SUM(F38:H38)</f>
        <v>0</v>
      </c>
      <c r="J38" s="36"/>
    </row>
    <row r="39" spans="1:10">
      <c r="A39" s="30">
        <v>6</v>
      </c>
      <c r="B39" s="31" t="s">
        <v>588</v>
      </c>
      <c r="C39" s="32" t="s">
        <v>582</v>
      </c>
      <c r="D39" s="34">
        <f>I38</f>
        <v>0</v>
      </c>
      <c r="E39" s="107" t="s">
        <v>586</v>
      </c>
      <c r="F39" s="106">
        <v>0</v>
      </c>
      <c r="G39" s="106">
        <v>0</v>
      </c>
      <c r="H39" s="106">
        <v>0</v>
      </c>
      <c r="I39" s="65">
        <f>SUM(D39,E39)-SUM(F39:H39)</f>
        <v>0</v>
      </c>
      <c r="J39" s="36"/>
    </row>
    <row r="40" spans="1:10">
      <c r="A40" s="39"/>
      <c r="B40" s="40"/>
      <c r="C40" s="95"/>
      <c r="D40" s="102"/>
      <c r="E40" s="103"/>
      <c r="F40" s="102"/>
      <c r="G40" s="102"/>
      <c r="H40" s="102"/>
      <c r="I40" s="111"/>
      <c r="J40" s="36"/>
    </row>
    <row r="41" spans="1:10" s="8" customFormat="1">
      <c r="A41" s="112" t="s">
        <v>603</v>
      </c>
      <c r="B41" s="113"/>
      <c r="C41" s="113" t="s">
        <v>604</v>
      </c>
      <c r="D41" s="114"/>
      <c r="E41" s="114"/>
      <c r="F41" s="114"/>
      <c r="G41" s="114"/>
      <c r="H41" s="114"/>
      <c r="I41" s="115"/>
      <c r="J41" s="36"/>
    </row>
    <row r="42" spans="1:10">
      <c r="A42" s="30">
        <v>1</v>
      </c>
      <c r="B42" s="31" t="s">
        <v>581</v>
      </c>
      <c r="C42" s="32" t="s">
        <v>582</v>
      </c>
      <c r="D42" s="34">
        <v>0</v>
      </c>
      <c r="E42" s="37" t="s">
        <v>586</v>
      </c>
      <c r="F42" s="34">
        <v>0</v>
      </c>
      <c r="G42" s="106">
        <v>0</v>
      </c>
      <c r="H42" s="107" t="s">
        <v>586</v>
      </c>
      <c r="I42" s="116">
        <f>SUM(D42:E42)-SUM(F42:H42)</f>
        <v>0</v>
      </c>
      <c r="J42" s="36"/>
    </row>
    <row r="43" spans="1:10">
      <c r="A43" s="30">
        <v>2</v>
      </c>
      <c r="B43" s="31" t="s">
        <v>581</v>
      </c>
      <c r="C43" s="32" t="s">
        <v>583</v>
      </c>
      <c r="D43" s="37"/>
      <c r="E43" s="37"/>
      <c r="F43" s="37"/>
      <c r="G43" s="37"/>
      <c r="H43" s="37"/>
      <c r="I43" s="37"/>
      <c r="J43" s="36"/>
    </row>
    <row r="44" spans="1:10">
      <c r="A44" s="30">
        <v>3</v>
      </c>
      <c r="B44" s="31" t="s">
        <v>581</v>
      </c>
      <c r="C44" s="32" t="s">
        <v>584</v>
      </c>
      <c r="D44" s="38">
        <v>12379</v>
      </c>
      <c r="E44" s="37" t="s">
        <v>586</v>
      </c>
      <c r="F44" s="38">
        <v>12086</v>
      </c>
      <c r="G44" s="38">
        <v>0</v>
      </c>
      <c r="H44" s="38">
        <v>0</v>
      </c>
      <c r="I44" s="117">
        <f>SUM(D44:E44)-SUM(F44:H44)</f>
        <v>293</v>
      </c>
      <c r="J44" s="36"/>
    </row>
    <row r="45" spans="1:10">
      <c r="A45" s="30">
        <v>4</v>
      </c>
      <c r="B45" s="31" t="s">
        <v>585</v>
      </c>
      <c r="C45" s="32" t="s">
        <v>582</v>
      </c>
      <c r="D45" s="38">
        <f>I44</f>
        <v>293</v>
      </c>
      <c r="E45" s="37" t="s">
        <v>586</v>
      </c>
      <c r="F45" s="38">
        <v>293</v>
      </c>
      <c r="G45" s="38">
        <v>0</v>
      </c>
      <c r="H45" s="37" t="s">
        <v>586</v>
      </c>
      <c r="I45" s="117">
        <f>SUM(D45:E45)-SUM(F45:H45)</f>
        <v>0</v>
      </c>
      <c r="J45" s="36"/>
    </row>
    <row r="46" spans="1:10">
      <c r="A46" s="30">
        <v>5</v>
      </c>
      <c r="B46" s="31" t="s">
        <v>587</v>
      </c>
      <c r="C46" s="32" t="s">
        <v>582</v>
      </c>
      <c r="D46" s="38">
        <f>I45</f>
        <v>0</v>
      </c>
      <c r="E46" s="37" t="s">
        <v>586</v>
      </c>
      <c r="F46" s="38">
        <v>0</v>
      </c>
      <c r="G46" s="38">
        <v>0</v>
      </c>
      <c r="H46" s="37" t="s">
        <v>586</v>
      </c>
      <c r="I46" s="117">
        <f>SUM(D46:E46)-SUM(F46:H46)</f>
        <v>0</v>
      </c>
      <c r="J46" s="36"/>
    </row>
    <row r="47" spans="1:10">
      <c r="A47" s="30">
        <v>6</v>
      </c>
      <c r="B47" s="31" t="s">
        <v>588</v>
      </c>
      <c r="C47" s="32" t="s">
        <v>582</v>
      </c>
      <c r="D47" s="38">
        <f>I46</f>
        <v>0</v>
      </c>
      <c r="E47" s="37" t="s">
        <v>586</v>
      </c>
      <c r="F47" s="38">
        <v>0</v>
      </c>
      <c r="G47" s="37" t="s">
        <v>586</v>
      </c>
      <c r="H47" s="37" t="s">
        <v>586</v>
      </c>
      <c r="I47" s="117">
        <f>SUM(D47:E47)-SUM(F47:H47)</f>
        <v>0</v>
      </c>
      <c r="J47" s="36"/>
    </row>
    <row r="48" spans="1:10">
      <c r="A48" s="118"/>
      <c r="B48" s="31"/>
      <c r="C48" s="21"/>
      <c r="D48" s="119"/>
      <c r="E48" s="120"/>
      <c r="F48" s="119"/>
      <c r="G48" s="120"/>
      <c r="H48" s="120"/>
      <c r="I48" s="121"/>
      <c r="J48" s="36"/>
    </row>
    <row r="49" spans="1:10" s="8" customFormat="1">
      <c r="A49" s="112" t="s">
        <v>605</v>
      </c>
      <c r="B49" s="113"/>
      <c r="C49" s="113" t="s">
        <v>606</v>
      </c>
      <c r="D49" s="114"/>
      <c r="E49" s="114"/>
      <c r="F49" s="114"/>
      <c r="G49" s="114"/>
      <c r="H49" s="114"/>
      <c r="I49" s="115"/>
      <c r="J49" s="36"/>
    </row>
    <row r="50" spans="1:10">
      <c r="A50" s="30">
        <v>1</v>
      </c>
      <c r="B50" s="31" t="s">
        <v>581</v>
      </c>
      <c r="C50" s="32" t="s">
        <v>582</v>
      </c>
      <c r="D50" s="34">
        <v>0</v>
      </c>
      <c r="E50" s="37" t="s">
        <v>586</v>
      </c>
      <c r="F50" s="34">
        <v>0</v>
      </c>
      <c r="G50" s="106">
        <v>0</v>
      </c>
      <c r="H50" s="107" t="s">
        <v>586</v>
      </c>
      <c r="I50" s="116">
        <f>SUM(D50:E50)-SUM(F50:H50)</f>
        <v>0</v>
      </c>
      <c r="J50" s="36"/>
    </row>
    <row r="51" spans="1:10">
      <c r="A51" s="30">
        <v>2</v>
      </c>
      <c r="B51" s="31" t="s">
        <v>581</v>
      </c>
      <c r="C51" s="32" t="s">
        <v>583</v>
      </c>
      <c r="D51" s="34">
        <v>0</v>
      </c>
      <c r="E51" s="37"/>
      <c r="F51" s="34">
        <v>0</v>
      </c>
      <c r="G51" s="106">
        <v>0</v>
      </c>
      <c r="H51" s="37"/>
      <c r="I51" s="37"/>
      <c r="J51" s="36"/>
    </row>
    <row r="52" spans="1:10">
      <c r="A52" s="30">
        <v>3</v>
      </c>
      <c r="B52" s="31" t="s">
        <v>581</v>
      </c>
      <c r="C52" s="32" t="s">
        <v>584</v>
      </c>
      <c r="D52" s="34">
        <v>0</v>
      </c>
      <c r="E52" s="37" t="s">
        <v>586</v>
      </c>
      <c r="F52" s="34">
        <v>0</v>
      </c>
      <c r="G52" s="106">
        <v>0</v>
      </c>
      <c r="H52" s="38">
        <v>0</v>
      </c>
      <c r="I52" s="117">
        <f>SUM(D52:E52)-SUM(F52:H52)</f>
        <v>0</v>
      </c>
      <c r="J52" s="36"/>
    </row>
    <row r="53" spans="1:10">
      <c r="A53" s="30">
        <v>4</v>
      </c>
      <c r="B53" s="31" t="s">
        <v>585</v>
      </c>
      <c r="C53" s="32" t="s">
        <v>582</v>
      </c>
      <c r="D53" s="34">
        <v>0</v>
      </c>
      <c r="E53" s="37" t="s">
        <v>586</v>
      </c>
      <c r="F53" s="34">
        <v>0</v>
      </c>
      <c r="G53" s="106">
        <v>0</v>
      </c>
      <c r="H53" s="37" t="s">
        <v>586</v>
      </c>
      <c r="I53" s="117">
        <f>SUM(D53:E53)-SUM(F53:H53)</f>
        <v>0</v>
      </c>
      <c r="J53" s="36"/>
    </row>
    <row r="54" spans="1:10">
      <c r="A54" s="30">
        <v>5</v>
      </c>
      <c r="B54" s="31" t="s">
        <v>587</v>
      </c>
      <c r="C54" s="32" t="s">
        <v>582</v>
      </c>
      <c r="D54" s="34">
        <v>0</v>
      </c>
      <c r="E54" s="37" t="s">
        <v>586</v>
      </c>
      <c r="F54" s="34">
        <v>0</v>
      </c>
      <c r="G54" s="106">
        <v>0</v>
      </c>
      <c r="H54" s="37" t="s">
        <v>586</v>
      </c>
      <c r="I54" s="117">
        <f>SUM(D54:E54)-SUM(F54:H54)</f>
        <v>0</v>
      </c>
      <c r="J54" s="36"/>
    </row>
    <row r="55" spans="1:10">
      <c r="A55" s="30">
        <v>6</v>
      </c>
      <c r="B55" s="31" t="s">
        <v>588</v>
      </c>
      <c r="C55" s="32" t="s">
        <v>582</v>
      </c>
      <c r="D55" s="34">
        <v>0</v>
      </c>
      <c r="E55" s="37" t="s">
        <v>586</v>
      </c>
      <c r="F55" s="34">
        <v>0</v>
      </c>
      <c r="G55" s="106">
        <v>0</v>
      </c>
      <c r="H55" s="37" t="s">
        <v>586</v>
      </c>
      <c r="I55" s="117">
        <f>SUM(D55:E55)-SUM(F55:H55)</f>
        <v>0</v>
      </c>
      <c r="J55" s="36"/>
    </row>
    <row r="56" spans="1:10">
      <c r="A56" s="66"/>
      <c r="B56" s="40"/>
      <c r="C56" s="95"/>
      <c r="D56" s="102"/>
      <c r="E56" s="103"/>
      <c r="F56" s="102"/>
      <c r="G56" s="102"/>
      <c r="H56" s="102"/>
      <c r="I56" s="122"/>
      <c r="J56" s="36"/>
    </row>
    <row r="57" spans="1:10">
      <c r="A57" s="68"/>
      <c r="B57" s="68"/>
      <c r="C57" s="69" t="s">
        <v>607</v>
      </c>
      <c r="D57" s="123"/>
      <c r="E57" s="123"/>
      <c r="F57" s="123"/>
      <c r="G57" s="123"/>
      <c r="H57" s="123"/>
      <c r="I57" s="71"/>
      <c r="J57" s="36"/>
    </row>
    <row r="58" spans="1:10">
      <c r="A58" s="30">
        <v>1</v>
      </c>
      <c r="B58" s="31" t="s">
        <v>581</v>
      </c>
      <c r="C58" s="32" t="s">
        <v>582</v>
      </c>
      <c r="D58" s="34">
        <f t="shared" ref="D58:I63" si="2">SUM(D10,D18,D26,D34,D42,D50)</f>
        <v>0</v>
      </c>
      <c r="E58" s="34">
        <f t="shared" si="2"/>
        <v>0</v>
      </c>
      <c r="F58" s="34">
        <f t="shared" si="2"/>
        <v>0</v>
      </c>
      <c r="G58" s="34">
        <f t="shared" si="2"/>
        <v>0</v>
      </c>
      <c r="H58" s="34">
        <f t="shared" si="2"/>
        <v>0</v>
      </c>
      <c r="I58" s="116">
        <f t="shared" si="2"/>
        <v>0</v>
      </c>
      <c r="J58" s="36"/>
    </row>
    <row r="59" spans="1:10">
      <c r="A59" s="30">
        <v>2</v>
      </c>
      <c r="B59" s="31" t="s">
        <v>581</v>
      </c>
      <c r="C59" s="32" t="s">
        <v>583</v>
      </c>
      <c r="D59" s="34">
        <f t="shared" si="2"/>
        <v>0</v>
      </c>
      <c r="E59" s="34">
        <f t="shared" si="2"/>
        <v>0</v>
      </c>
      <c r="F59" s="34">
        <f t="shared" si="2"/>
        <v>0</v>
      </c>
      <c r="G59" s="34">
        <f t="shared" si="2"/>
        <v>0</v>
      </c>
      <c r="H59" s="34">
        <f t="shared" si="2"/>
        <v>0</v>
      </c>
      <c r="I59" s="116">
        <f t="shared" si="2"/>
        <v>0</v>
      </c>
      <c r="J59" s="36"/>
    </row>
    <row r="60" spans="1:10">
      <c r="A60" s="30">
        <v>3</v>
      </c>
      <c r="B60" s="31" t="s">
        <v>581</v>
      </c>
      <c r="C60" s="32" t="s">
        <v>584</v>
      </c>
      <c r="D60" s="34">
        <f t="shared" si="2"/>
        <v>147935</v>
      </c>
      <c r="E60" s="34">
        <f t="shared" si="2"/>
        <v>0</v>
      </c>
      <c r="F60" s="34">
        <f t="shared" si="2"/>
        <v>62198</v>
      </c>
      <c r="G60" s="34">
        <f t="shared" si="2"/>
        <v>0</v>
      </c>
      <c r="H60" s="34">
        <f t="shared" si="2"/>
        <v>35942</v>
      </c>
      <c r="I60" s="116">
        <f t="shared" si="2"/>
        <v>49795</v>
      </c>
      <c r="J60" s="36"/>
    </row>
    <row r="61" spans="1:10">
      <c r="A61" s="30">
        <v>4</v>
      </c>
      <c r="B61" s="31" t="s">
        <v>585</v>
      </c>
      <c r="C61" s="32" t="s">
        <v>582</v>
      </c>
      <c r="D61" s="34">
        <f t="shared" si="2"/>
        <v>49795</v>
      </c>
      <c r="E61" s="34">
        <f t="shared" si="2"/>
        <v>0</v>
      </c>
      <c r="F61" s="34">
        <f t="shared" si="2"/>
        <v>6050</v>
      </c>
      <c r="G61" s="34">
        <f t="shared" si="2"/>
        <v>0</v>
      </c>
      <c r="H61" s="34">
        <f t="shared" si="2"/>
        <v>42218</v>
      </c>
      <c r="I61" s="116">
        <f t="shared" si="2"/>
        <v>1527</v>
      </c>
      <c r="J61" s="36"/>
    </row>
    <row r="62" spans="1:10">
      <c r="A62" s="30">
        <v>5</v>
      </c>
      <c r="B62" s="31" t="s">
        <v>587</v>
      </c>
      <c r="C62" s="32" t="s">
        <v>582</v>
      </c>
      <c r="D62" s="34">
        <f t="shared" si="2"/>
        <v>1527</v>
      </c>
      <c r="E62" s="34">
        <f t="shared" si="2"/>
        <v>0</v>
      </c>
      <c r="F62" s="34">
        <f t="shared" si="2"/>
        <v>1527</v>
      </c>
      <c r="G62" s="34">
        <f t="shared" si="2"/>
        <v>0</v>
      </c>
      <c r="H62" s="34">
        <f t="shared" si="2"/>
        <v>0</v>
      </c>
      <c r="I62" s="116">
        <f t="shared" si="2"/>
        <v>0</v>
      </c>
      <c r="J62" s="36"/>
    </row>
    <row r="63" spans="1:10">
      <c r="A63" s="30">
        <v>6</v>
      </c>
      <c r="B63" s="31" t="s">
        <v>588</v>
      </c>
      <c r="C63" s="32" t="s">
        <v>582</v>
      </c>
      <c r="D63" s="34">
        <f t="shared" si="2"/>
        <v>0</v>
      </c>
      <c r="E63" s="34">
        <f t="shared" si="2"/>
        <v>0</v>
      </c>
      <c r="F63" s="34">
        <f t="shared" si="2"/>
        <v>0</v>
      </c>
      <c r="G63" s="34">
        <f t="shared" si="2"/>
        <v>0</v>
      </c>
      <c r="H63" s="34">
        <f t="shared" si="2"/>
        <v>0</v>
      </c>
      <c r="I63" s="116">
        <f t="shared" si="2"/>
        <v>0</v>
      </c>
      <c r="J63" s="36"/>
    </row>
    <row r="64" spans="1:10">
      <c r="A64" s="57"/>
      <c r="B64" s="124"/>
      <c r="C64" s="125"/>
      <c r="D64" s="75"/>
      <c r="E64" s="126"/>
      <c r="F64" s="126"/>
      <c r="G64" s="126"/>
      <c r="H64" s="126"/>
      <c r="I64" s="127"/>
    </row>
    <row r="65" spans="1:9">
      <c r="A65" s="128"/>
      <c r="B65" s="129"/>
      <c r="C65" s="21"/>
      <c r="D65" s="130"/>
      <c r="E65" s="131"/>
      <c r="F65" s="131"/>
      <c r="G65" s="131"/>
      <c r="H65" s="131"/>
      <c r="I65" s="132"/>
    </row>
    <row r="66" spans="1:9">
      <c r="A66" s="128"/>
      <c r="B66" s="129"/>
      <c r="C66" s="21"/>
      <c r="D66" s="130"/>
      <c r="E66" s="131"/>
      <c r="F66" s="131"/>
      <c r="G66" s="131"/>
      <c r="H66" s="131"/>
      <c r="I66" s="132"/>
    </row>
    <row r="67" spans="1:9">
      <c r="A67" s="128"/>
      <c r="B67" s="129"/>
      <c r="C67" s="21"/>
      <c r="D67" s="130"/>
      <c r="E67" s="131"/>
      <c r="F67" s="131"/>
      <c r="G67" s="131"/>
      <c r="H67" s="131"/>
      <c r="I67" s="132"/>
    </row>
    <row r="68" spans="1:9">
      <c r="A68" s="128"/>
      <c r="B68" s="129"/>
      <c r="C68" s="21"/>
      <c r="F68" s="77" t="s">
        <v>185</v>
      </c>
      <c r="G68" s="10" t="e">
        <f>SUM("$#ODWOŁANIE$#ODWOŁANIE","$#ODWOŁANIE$#ODWOŁANIE","$#ODWOŁANIE$#ODWOŁANIE","$#ODWOŁANIE$#ODWOŁANIE")</f>
        <v>#VALUE!</v>
      </c>
    </row>
    <row r="69" spans="1:9">
      <c r="G69" s="10">
        <f>SUM(G10,G18,G34,G42)</f>
        <v>0</v>
      </c>
    </row>
    <row r="70" spans="1:9">
      <c r="G70" s="10">
        <f>SUM(G11,G19,G35,G43)</f>
        <v>0</v>
      </c>
    </row>
    <row r="71" spans="1:9">
      <c r="G71" s="10">
        <f>SUM(G12,G20,G36,G44)</f>
        <v>0</v>
      </c>
    </row>
    <row r="73" spans="1:9">
      <c r="F73" s="77" t="s">
        <v>171</v>
      </c>
      <c r="G73" s="10" t="e">
        <f>SUM("$#ODWOŁANIE$#ODWOŁANIE","$#ODWOŁANIE$#ODWOŁANIE")+"$'Rozl. poż. og.-plan 2008-10'.$#ODWOŁANIE$#ODWOŁANIE"</f>
        <v>#VALUE!</v>
      </c>
    </row>
    <row r="74" spans="1:9">
      <c r="G74" s="10" t="e">
        <f>SUM(G26,"$#ODWOŁANIE$#ODWOŁANIE")+'Rozl. poż. og.-plan 2008-10'!G11</f>
        <v>#VALUE!</v>
      </c>
    </row>
    <row r="75" spans="1:9">
      <c r="G75" s="10" t="e">
        <f>SUM(G27,"$#ODWOŁANIE$#ODWOŁANIE")+'Rozl. poż. og.-plan 2008-10'!G12</f>
        <v>#VALUE!</v>
      </c>
    </row>
    <row r="76" spans="1:9">
      <c r="G76" s="10" t="e">
        <f>SUM(G28,"$#ODWOŁANIE$#ODWOŁANIE")+'Rozl. poż. og.-plan 2008-10'!G13</f>
        <v>#VALUE!</v>
      </c>
    </row>
  </sheetData>
  <sheetProtection selectLockedCells="1" selectUnlockedCells="1"/>
  <mergeCells count="10"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</mergeCells>
  <printOptions horizontalCentered="1"/>
  <pageMargins left="0.19652777777777777" right="0.19652777777777777" top="0.39374999999999999" bottom="0.59027777777777779" header="0.51180555555555551" footer="0"/>
  <pageSetup paperSize="9" scale="75" firstPageNumber="0" orientation="portrait" horizontalDpi="300" verticalDpi="300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14</vt:i4>
      </vt:variant>
    </vt:vector>
  </HeadingPairs>
  <TitlesOfParts>
    <vt:vector size="23" baseType="lpstr">
      <vt:lpstr>Pl 2016-20 PFC</vt:lpstr>
      <vt:lpstr>Pl 2014-17 PFC MF</vt:lpstr>
      <vt:lpstr>czysty</vt:lpstr>
      <vt:lpstr>Plan 2014-17 Wydatki</vt:lpstr>
      <vt:lpstr>BZ-zmiany (2)</vt:lpstr>
      <vt:lpstr>PFC D (2)</vt:lpstr>
      <vt:lpstr>PFC D kasowo</vt:lpstr>
      <vt:lpstr>Rozl. poż. og.-plan 2008-10</vt:lpstr>
      <vt:lpstr>Rozl.poż.pr.cel.-plan 2008-10</vt:lpstr>
      <vt:lpstr>'BZ-zmiany (2)'!Obszar_wydruku</vt:lpstr>
      <vt:lpstr>czysty!Obszar_wydruku</vt:lpstr>
      <vt:lpstr>'PFC D (2)'!Obszar_wydruku</vt:lpstr>
      <vt:lpstr>'PFC D kasowo'!Obszar_wydruku</vt:lpstr>
      <vt:lpstr>'Pl 2014-17 PFC MF'!Obszar_wydruku</vt:lpstr>
      <vt:lpstr>'Pl 2016-20 PFC'!Obszar_wydruku</vt:lpstr>
      <vt:lpstr>'Plan 2014-17 Wydatki'!Obszar_wydruku</vt:lpstr>
      <vt:lpstr>'Rozl. poż. og.-plan 2008-10'!Obszar_wydruku</vt:lpstr>
      <vt:lpstr>'Rozl.poż.pr.cel.-plan 2008-10'!Obszar_wydruku</vt:lpstr>
      <vt:lpstr>'BZ-zmiany (2)'!Tytuły_wydruku</vt:lpstr>
      <vt:lpstr>czysty!Tytuły_wydruku</vt:lpstr>
      <vt:lpstr>'Pl 2014-17 PFC MF'!Tytuły_wydruku</vt:lpstr>
      <vt:lpstr>'Pl 2016-20 PFC'!Tytuły_wydruku</vt:lpstr>
      <vt:lpstr>'Plan 2014-17 Wydatki'!Tytuły_wydruku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dzak</dc:creator>
  <cp:lastModifiedBy>test</cp:lastModifiedBy>
  <cp:lastPrinted>2016-04-28T07:49:50Z</cp:lastPrinted>
  <dcterms:created xsi:type="dcterms:W3CDTF">2013-12-03T13:47:07Z</dcterms:created>
  <dcterms:modified xsi:type="dcterms:W3CDTF">2016-05-13T12:27:02Z</dcterms:modified>
</cp:coreProperties>
</file>